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tabRatio="902" activeTab="0"/>
  </bookViews>
  <sheets>
    <sheet name="Cover" sheetId="1" r:id="rId1"/>
    <sheet name="P&amp;L Group YTD" sheetId="2" r:id="rId2"/>
    <sheet name="P&amp;L Group by quarter" sheetId="3" r:id="rId3"/>
    <sheet name="Key fin data by BU YTD" sheetId="4" r:id="rId4"/>
    <sheet name="Key fin. data by BU by quarter" sheetId="5" r:id="rId5"/>
    <sheet name="Balance Sheet" sheetId="6" r:id="rId6"/>
    <sheet name="Cashflow Statement" sheetId="7" r:id="rId7"/>
    <sheet name="Domestic Business Results" sheetId="8" r:id="rId8"/>
    <sheet name="Domestic Wireline Results" sheetId="9" r:id="rId9"/>
    <sheet name="Domestic Mobile Results" sheetId="10" r:id="rId10"/>
    <sheet name="TIM Brasil Results" sheetId="11" r:id="rId11"/>
    <sheet name="European BroadBand" sheetId="12" r:id="rId12"/>
    <sheet name="1Q Rep&amp;org." sheetId="13" r:id="rId13"/>
    <sheet name="2Q Rep&amp;org." sheetId="14" r:id="rId14"/>
    <sheet name="3Q Rep&amp;org." sheetId="15" r:id="rId15"/>
    <sheet name="Main Group's Subsidiries" sheetId="16" r:id="rId16"/>
    <sheet name="Analyst Tools" sheetId="17" r:id="rId17"/>
    <sheet name="Historic Data" sheetId="18" r:id="rId18"/>
    <sheet name="ORGANIC" sheetId="19" state="hidden" r:id="rId19"/>
    <sheet name="MAIN FINANCIALS" sheetId="20" state="hidden" r:id="rId20"/>
    <sheet name="CAPEX" sheetId="21" state="hidden" r:id="rId21"/>
    <sheet name="bs" sheetId="22" state="hidden" r:id="rId22"/>
    <sheet name="Sheet1" sheetId="23" state="hidden" r:id="rId23"/>
    <sheet name="Rep&amp;org. fig. YTD" sheetId="24" state="hidden" r:id="rId24"/>
    <sheet name="Rep&amp;org. fig. by quarter" sheetId="25" state="hidden" r:id="rId25"/>
    <sheet name="Historic Quartely Proforma" sheetId="26" state="hidden" r:id="rId26"/>
  </sheets>
  <definedNames>
    <definedName name="_xlnm.Print_Area" localSheetId="12">'1Q Rep&amp;org.'!$B$1:$Y$63</definedName>
    <definedName name="_xlnm.Print_Area" localSheetId="13">'2Q Rep&amp;org.'!$B$1:$Y$66</definedName>
    <definedName name="_xlnm.Print_Area" localSheetId="14">'3Q Rep&amp;org.'!$B$1:$Y$64</definedName>
    <definedName name="_xlnm.Print_Area" localSheetId="16">'Analyst Tools'!$B$2:$F$30</definedName>
    <definedName name="_xlnm.Print_Area" localSheetId="5">'Balance Sheet'!$B$2:$R$80</definedName>
    <definedName name="_xlnm.Print_Area" localSheetId="6">'Cashflow Statement'!$B$2:$V$82</definedName>
    <definedName name="_xlnm.Print_Area" localSheetId="0">'Cover'!$B$2:$J$33</definedName>
    <definedName name="_xlnm.Print_Area" localSheetId="7">'Domestic Business Results'!$B$2:$AE$39</definedName>
    <definedName name="_xlnm.Print_Area" localSheetId="9">'Domestic Mobile Results'!$B$2:$AA$32</definedName>
    <definedName name="_xlnm.Print_Area" localSheetId="8">'Domestic Wireline Results'!$B$2:$AG$45</definedName>
    <definedName name="_xlnm.Print_Area" localSheetId="11">'European BroadBand'!$B$2:$X$43</definedName>
    <definedName name="_xlnm.Print_Area" localSheetId="17">'Historic Data'!$B$2:$D$18</definedName>
    <definedName name="_xlnm.Print_Area" localSheetId="25">'Historic Quartely Proforma'!$B$2:$K$323</definedName>
    <definedName name="_xlnm.Print_Area" localSheetId="3">'Key fin data by BU YTD'!$B$2:$V$124</definedName>
    <definedName name="_xlnm.Print_Area" localSheetId="4">'Key fin. data by BU by quarter'!$B$2:$V$125</definedName>
    <definedName name="_xlnm.Print_Area" localSheetId="15">'Main Group''s Subsidiries'!$B$1:$I$22</definedName>
    <definedName name="_xlnm.Print_Area" localSheetId="2">'P&amp;L Group by quarter'!$B$2:$V$47</definedName>
    <definedName name="_xlnm.Print_Area" localSheetId="1">'P&amp;L Group YTD'!$B$2:$V$49</definedName>
    <definedName name="_xlnm.Print_Area" localSheetId="24">'Rep&amp;org. fig. by quarter'!$B$1:$AC$265</definedName>
    <definedName name="_xlnm.Print_Area" localSheetId="23">'Rep&amp;org. fig. YTD'!$B$2:$AC$283</definedName>
    <definedName name="_xlnm.Print_Area" localSheetId="10">'TIM Brasil Results'!$B$2:$AB$39</definedName>
    <definedName name="EV__LASTREFTIME__" hidden="1">39196.6485069444</definedName>
    <definedName name="_xlnm.Print_Titles" localSheetId="12">'1Q Rep&amp;org.'!$1:$1</definedName>
    <definedName name="_xlnm.Print_Titles" localSheetId="13">'2Q Rep&amp;org.'!$1:$1</definedName>
    <definedName name="_xlnm.Print_Titles" localSheetId="14">'3Q Rep&amp;org.'!$1:$1</definedName>
    <definedName name="_xlnm.Print_Titles" localSheetId="25">'Historic Quartely Proforma'!$2:$2</definedName>
    <definedName name="_xlnm.Print_Titles" localSheetId="3">'Key fin data by BU YTD'!$2:$2</definedName>
    <definedName name="_xlnm.Print_Titles" localSheetId="4">'Key fin. data by BU by quarter'!$2:$2</definedName>
    <definedName name="_xlnm.Print_Titles" localSheetId="24">'Rep&amp;org. fig. by quarter'!$1:$1</definedName>
    <definedName name="_xlnm.Print_Titles" localSheetId="23">'Rep&amp;org. fig. YTD'!$2:$2</definedName>
  </definedNames>
  <calcPr fullCalcOnLoad="1"/>
</workbook>
</file>

<file path=xl/sharedStrings.xml><?xml version="1.0" encoding="utf-8"?>
<sst xmlns="http://schemas.openxmlformats.org/spreadsheetml/2006/main" count="3694" uniqueCount="546">
  <si>
    <t>REVENUES</t>
  </si>
  <si>
    <t>% on revenues</t>
  </si>
  <si>
    <t>1Q06</t>
  </si>
  <si>
    <t>2Q06</t>
  </si>
  <si>
    <t>3Q06</t>
  </si>
  <si>
    <t>4Q06</t>
  </si>
  <si>
    <t>1Q07</t>
  </si>
  <si>
    <t>Domestic</t>
  </si>
  <si>
    <t>European BroadBand</t>
  </si>
  <si>
    <t>Olivetti</t>
  </si>
  <si>
    <t>TI Group</t>
  </si>
  <si>
    <t>€ mln</t>
  </si>
  <si>
    <t>Domestic Business Results</t>
  </si>
  <si>
    <t>Capex</t>
  </si>
  <si>
    <t>KPI's</t>
  </si>
  <si>
    <t>Voice</t>
  </si>
  <si>
    <t>o/w traffic</t>
  </si>
  <si>
    <t>o/w access</t>
  </si>
  <si>
    <t>o/w voice VAS</t>
  </si>
  <si>
    <t>o/w handsets</t>
  </si>
  <si>
    <t>o/w narrowband</t>
  </si>
  <si>
    <t>o/w BroadBand</t>
  </si>
  <si>
    <t>o/w leased lines</t>
  </si>
  <si>
    <t>o/w traditional data</t>
  </si>
  <si>
    <t>o/w BroadBand data</t>
  </si>
  <si>
    <t>o/w Equipments</t>
  </si>
  <si>
    <t>o/w ICT</t>
  </si>
  <si>
    <t>Internet</t>
  </si>
  <si>
    <t>Business Data</t>
  </si>
  <si>
    <t>Wholesale</t>
  </si>
  <si>
    <t>Subs. Adj. and Other</t>
  </si>
  <si>
    <t>TIM Brasil</t>
  </si>
  <si>
    <t>Contacts</t>
  </si>
  <si>
    <t>% on total lines</t>
  </si>
  <si>
    <t>Service Revenues</t>
  </si>
  <si>
    <t>TOTAL</t>
  </si>
  <si>
    <t>o/w Incoming voice</t>
  </si>
  <si>
    <t>o/w VAS</t>
  </si>
  <si>
    <t>o/w Visitors and others</t>
  </si>
  <si>
    <t>Handsets</t>
  </si>
  <si>
    <t>VAS on Service revenues (%)</t>
  </si>
  <si>
    <t>TOTAL MOU</t>
  </si>
  <si>
    <t>o/w Germany</t>
  </si>
  <si>
    <t>o/w Netherlands</t>
  </si>
  <si>
    <r>
      <t xml:space="preserve">MAIN RESULTS </t>
    </r>
    <r>
      <rPr>
        <sz val="7"/>
        <rFont val="Arial"/>
        <family val="2"/>
      </rPr>
      <t>(€ mln)</t>
    </r>
  </si>
  <si>
    <t xml:space="preserve">EBITDA </t>
  </si>
  <si>
    <t xml:space="preserve">EBITDA margin </t>
  </si>
  <si>
    <t>EBIT</t>
  </si>
  <si>
    <t xml:space="preserve">EBIT margin </t>
  </si>
  <si>
    <t>Telecom Italia Investor Relations</t>
  </si>
  <si>
    <t>Piazza degli Affari 2 - 20123 Milan - Italy</t>
  </si>
  <si>
    <t>Phone +39 02 8595 4131</t>
  </si>
  <si>
    <t>Fax +39 02 8595 4132</t>
  </si>
  <si>
    <t>TELECOM ITALIA INVESTOR RELATIONS</t>
  </si>
  <si>
    <t>Telecom Italia Group</t>
  </si>
  <si>
    <t>Bolivia</t>
  </si>
  <si>
    <t>click on the links below</t>
  </si>
  <si>
    <t>Financial and operating data</t>
  </si>
  <si>
    <t>Website link:</t>
  </si>
  <si>
    <t xml:space="preserve">Index </t>
  </si>
  <si>
    <t>Other Operating Income</t>
  </si>
  <si>
    <t>TOTAL REVENUES &amp; OTHER INCOME</t>
  </si>
  <si>
    <t>Total Purchases of materials and external services</t>
  </si>
  <si>
    <t>Personel</t>
  </si>
  <si>
    <t>Other operating costs</t>
  </si>
  <si>
    <t>Capitalized Cost and Others</t>
  </si>
  <si>
    <t>EBITDA</t>
  </si>
  <si>
    <t>EBITDA Margin</t>
  </si>
  <si>
    <t>Depreciation &amp; Amortization</t>
  </si>
  <si>
    <t>EBIT Margin</t>
  </si>
  <si>
    <t>Income (loss) equity invest. Valued equity method</t>
  </si>
  <si>
    <t>Net Financial Income / (Expenses)</t>
  </si>
  <si>
    <t xml:space="preserve">Income before Taxes &amp; Disc.ops. </t>
  </si>
  <si>
    <t>Taxes</t>
  </si>
  <si>
    <t>Income before Disc.ops.</t>
  </si>
  <si>
    <t>Net Income (loss) of assets disposed</t>
  </si>
  <si>
    <t>Net Income (ante Minorities)</t>
  </si>
  <si>
    <t>Minorities</t>
  </si>
  <si>
    <t>Net Income (post Minorities)</t>
  </si>
  <si>
    <t>% on Revenues</t>
  </si>
  <si>
    <t>Tax Rate</t>
  </si>
  <si>
    <r>
      <t xml:space="preserve">KPI's </t>
    </r>
    <r>
      <rPr>
        <sz val="7"/>
        <rFont val="Arial"/>
        <family val="2"/>
      </rPr>
      <t>('000)</t>
    </r>
  </si>
  <si>
    <t>o/w messaging</t>
  </si>
  <si>
    <t>TIM Partecipaçoes S.A.</t>
  </si>
  <si>
    <t>Telecom Argentina</t>
  </si>
  <si>
    <t>Etecsa (Cuba)</t>
  </si>
  <si>
    <t>1H06</t>
  </si>
  <si>
    <t>9M06</t>
  </si>
  <si>
    <t>FY06</t>
  </si>
  <si>
    <t>TI Media</t>
  </si>
  <si>
    <r>
      <t xml:space="preserve">EBIT </t>
    </r>
    <r>
      <rPr>
        <sz val="7"/>
        <rFont val="Arial"/>
        <family val="2"/>
      </rPr>
      <t xml:space="preserve"> (€ mln)</t>
    </r>
  </si>
  <si>
    <r>
      <t xml:space="preserve">EBITDA  </t>
    </r>
    <r>
      <rPr>
        <sz val="7"/>
        <rFont val="Arial"/>
        <family val="2"/>
      </rPr>
      <t>(€ mln)</t>
    </r>
  </si>
  <si>
    <r>
      <t xml:space="preserve">Handsets sold </t>
    </r>
    <r>
      <rPr>
        <sz val="7"/>
        <rFont val="Arial"/>
        <family val="2"/>
      </rPr>
      <t>('000)</t>
    </r>
  </si>
  <si>
    <r>
      <t xml:space="preserve">UMTS lines </t>
    </r>
    <r>
      <rPr>
        <sz val="7"/>
        <rFont val="Arial"/>
        <family val="2"/>
      </rPr>
      <t>('000)</t>
    </r>
  </si>
  <si>
    <r>
      <t xml:space="preserve">Total number of lines </t>
    </r>
    <r>
      <rPr>
        <sz val="7"/>
        <rFont val="Arial"/>
        <family val="2"/>
      </rPr>
      <t>('000)</t>
    </r>
  </si>
  <si>
    <t>Germany</t>
  </si>
  <si>
    <t>Netherlands</t>
  </si>
  <si>
    <r>
      <t xml:space="preserve">Voip portfolio </t>
    </r>
    <r>
      <rPr>
        <sz val="7"/>
        <rFont val="Arial"/>
        <family val="2"/>
      </rPr>
      <t>('000)</t>
    </r>
  </si>
  <si>
    <r>
      <t xml:space="preserve">Market Share </t>
    </r>
    <r>
      <rPr>
        <sz val="7"/>
        <rFont val="Arial"/>
        <family val="2"/>
      </rPr>
      <t>(%)</t>
    </r>
  </si>
  <si>
    <t>o/w interactive</t>
  </si>
  <si>
    <r>
      <t xml:space="preserve">Total Lines </t>
    </r>
    <r>
      <rPr>
        <sz val="7"/>
        <rFont val="Arial"/>
        <family val="2"/>
      </rPr>
      <t>('000)</t>
    </r>
  </si>
  <si>
    <t>o/w ULL</t>
  </si>
  <si>
    <t>o/w Virtual ULL</t>
  </si>
  <si>
    <t>NETHERLANDS (BBNed)</t>
  </si>
  <si>
    <t>NAME</t>
  </si>
  <si>
    <t>(economic interest)</t>
  </si>
  <si>
    <t>% OWNERSHIP</t>
  </si>
  <si>
    <r>
      <t>o/w Shared Access (ADSL)</t>
    </r>
    <r>
      <rPr>
        <vertAlign val="superscript"/>
        <sz val="8"/>
        <rFont val="Arial"/>
        <family val="2"/>
      </rPr>
      <t>(1)</t>
    </r>
  </si>
  <si>
    <t>Upcoming financial events</t>
  </si>
  <si>
    <t>Main Group Subsidiaries</t>
  </si>
  <si>
    <t>Main Group Subsidiares</t>
  </si>
  <si>
    <t>Total lines</t>
  </si>
  <si>
    <t xml:space="preserve">Mobile </t>
  </si>
  <si>
    <r>
      <t xml:space="preserve">TOTAL ARPU </t>
    </r>
    <r>
      <rPr>
        <sz val="7"/>
        <rFont val="Arial"/>
        <family val="2"/>
      </rPr>
      <t>(R$ Brasilian GAAP)</t>
    </r>
  </si>
  <si>
    <t>COUNTRY</t>
  </si>
  <si>
    <t>Italy</t>
  </si>
  <si>
    <t>Brasil</t>
  </si>
  <si>
    <t>Cuba</t>
  </si>
  <si>
    <t>Argentina</t>
  </si>
  <si>
    <t xml:space="preserve">BBNed </t>
  </si>
  <si>
    <t xml:space="preserve">Hansenet </t>
  </si>
  <si>
    <r>
      <t xml:space="preserve">o/w Incoming traffic volumes </t>
    </r>
    <r>
      <rPr>
        <sz val="7"/>
        <rFont val="Arial"/>
        <family val="2"/>
      </rPr>
      <t>(mln of minutes)</t>
    </r>
  </si>
  <si>
    <r>
      <t xml:space="preserve">Volumes of traffic </t>
    </r>
    <r>
      <rPr>
        <sz val="7"/>
        <rFont val="Arial"/>
        <family val="2"/>
      </rPr>
      <t>(mln of minutes) (1)</t>
    </r>
  </si>
  <si>
    <r>
      <t xml:space="preserve">o/w Outgoing traffic volumes </t>
    </r>
    <r>
      <rPr>
        <sz val="7"/>
        <rFont val="Arial"/>
        <family val="2"/>
      </rPr>
      <t xml:space="preserve">(mln of minutes) </t>
    </r>
    <r>
      <rPr>
        <vertAlign val="superscript"/>
        <sz val="7"/>
        <rFont val="Arial"/>
        <family val="2"/>
      </rPr>
      <t>(2)</t>
    </r>
  </si>
  <si>
    <r>
      <t xml:space="preserve">o/w Outgoing voice </t>
    </r>
    <r>
      <rPr>
        <vertAlign val="superscript"/>
        <sz val="8"/>
        <rFont val="Arial"/>
        <family val="2"/>
      </rPr>
      <t>(3)</t>
    </r>
  </si>
  <si>
    <r>
      <t>UMTS</t>
    </r>
    <r>
      <rPr>
        <vertAlign val="superscript"/>
        <sz val="8"/>
        <rFont val="Arial"/>
        <family val="2"/>
      </rPr>
      <t>(1)</t>
    </r>
  </si>
  <si>
    <r>
      <t xml:space="preserve"> (1) </t>
    </r>
    <r>
      <rPr>
        <sz val="7"/>
        <rFont val="Arial"/>
        <family val="2"/>
      </rPr>
      <t>UMTS costumers that generated traffic on TIM's 3G network in the last 90 days</t>
    </r>
  </si>
  <si>
    <r>
      <t>CAPEX</t>
    </r>
    <r>
      <rPr>
        <sz val="7"/>
        <rFont val="Arial"/>
        <family val="0"/>
      </rPr>
      <t xml:space="preserve"> (€ mln)</t>
    </r>
  </si>
  <si>
    <r>
      <t xml:space="preserve">CAPEX ON SALES </t>
    </r>
    <r>
      <rPr>
        <sz val="7"/>
        <rFont val="Arial"/>
        <family val="0"/>
      </rPr>
      <t>(%)</t>
    </r>
  </si>
  <si>
    <t>o/w Domestic Wireline</t>
  </si>
  <si>
    <t>o/w Mobile Domestic</t>
  </si>
  <si>
    <t>o/w Domestic Mobile</t>
  </si>
  <si>
    <t>Wireline</t>
  </si>
  <si>
    <r>
      <t>(1)</t>
    </r>
    <r>
      <rPr>
        <sz val="6"/>
        <rFont val="Arial"/>
        <family val="2"/>
      </rPr>
      <t xml:space="preserve"> Included on TI Retail Access</t>
    </r>
  </si>
  <si>
    <r>
      <t>D%</t>
    </r>
    <r>
      <rPr>
        <b/>
        <i/>
        <sz val="8"/>
        <color indexed="10"/>
        <rFont val="Arial"/>
        <family val="2"/>
      </rPr>
      <t xml:space="preserve"> yoy</t>
    </r>
  </si>
  <si>
    <r>
      <t xml:space="preserve">Headcount at period-end </t>
    </r>
    <r>
      <rPr>
        <sz val="8"/>
        <rFont val="Arial"/>
        <family val="0"/>
      </rPr>
      <t>('000)</t>
    </r>
  </si>
  <si>
    <t>Broadband (retail+wholesale)</t>
  </si>
  <si>
    <t xml:space="preserve">EBITDA Margin </t>
  </si>
  <si>
    <t xml:space="preserve">EBIT Margin </t>
  </si>
  <si>
    <t>Total</t>
  </si>
  <si>
    <r>
      <t xml:space="preserve">REVENUES  </t>
    </r>
    <r>
      <rPr>
        <sz val="7"/>
        <rFont val="Arial"/>
        <family val="2"/>
      </rPr>
      <t>(€ mln)</t>
    </r>
  </si>
  <si>
    <t>n.m.</t>
  </si>
  <si>
    <t>2Q07</t>
  </si>
  <si>
    <t>3Q07</t>
  </si>
  <si>
    <r>
      <t>D</t>
    </r>
    <r>
      <rPr>
        <b/>
        <i/>
        <sz val="7"/>
        <color indexed="10"/>
        <rFont val="Arial"/>
        <family val="2"/>
      </rPr>
      <t>% YoY net NNG</t>
    </r>
  </si>
  <si>
    <t>o/w Wireline Domestic</t>
  </si>
  <si>
    <r>
      <t>D</t>
    </r>
    <r>
      <rPr>
        <b/>
        <i/>
        <sz val="7"/>
        <color indexed="10"/>
        <rFont val="Arial"/>
        <family val="2"/>
      </rPr>
      <t>% YoY net NNG</t>
    </r>
    <r>
      <rPr>
        <b/>
        <i/>
        <vertAlign val="superscript"/>
        <sz val="7"/>
        <color indexed="10"/>
        <rFont val="Arial"/>
        <family val="2"/>
      </rPr>
      <t>(2)</t>
    </r>
  </si>
  <si>
    <t>% on BB retail lines</t>
  </si>
  <si>
    <t>1H07</t>
  </si>
  <si>
    <t>9M07</t>
  </si>
  <si>
    <t>3Q 07</t>
  </si>
  <si>
    <t xml:space="preserve">   -of which Prepaid</t>
  </si>
  <si>
    <t xml:space="preserve">   -of which Postpaid</t>
  </si>
  <si>
    <t>Exchange rate AVG (R$ vs. euro)</t>
  </si>
  <si>
    <t>Financial documents archive</t>
  </si>
  <si>
    <t>Report &amp; Results</t>
  </si>
  <si>
    <t>Press Release</t>
  </si>
  <si>
    <t>Analyst Tools</t>
  </si>
  <si>
    <t>TIM Part. Website</t>
  </si>
  <si>
    <t>o/w Voice (Excluding visitors &amp; others)</t>
  </si>
  <si>
    <t>o/w Handsets</t>
  </si>
  <si>
    <t>Historic Quarter Proforma</t>
  </si>
  <si>
    <t xml:space="preserve">Total lines BB+NB ('000) </t>
  </si>
  <si>
    <t>BB lines ('000)</t>
  </si>
  <si>
    <t xml:space="preserve">Total lines ('000) </t>
  </si>
  <si>
    <t>EBITDA organic</t>
  </si>
  <si>
    <t>EBIT organic</t>
  </si>
  <si>
    <t>investor_relations@telecomitalia.it</t>
  </si>
  <si>
    <t>Fixed network connections</t>
  </si>
  <si>
    <t>Physical accesses</t>
  </si>
  <si>
    <t>Fixed network connections ('000)</t>
  </si>
  <si>
    <t>Physical accesses ('000)</t>
  </si>
  <si>
    <r>
      <t>MAIN RESULTS</t>
    </r>
    <r>
      <rPr>
        <b/>
        <sz val="8"/>
        <rFont val="Arial"/>
        <family val="2"/>
      </rPr>
      <t xml:space="preserve"> </t>
    </r>
    <r>
      <rPr>
        <sz val="7"/>
        <rFont val="Arial"/>
        <family val="2"/>
      </rPr>
      <t>(IAS/IFRS, R$ mln)</t>
    </r>
  </si>
  <si>
    <r>
      <t>REVENUES</t>
    </r>
    <r>
      <rPr>
        <b/>
        <sz val="8"/>
        <rFont val="Arial"/>
        <family val="2"/>
      </rPr>
      <t xml:space="preserve"> </t>
    </r>
    <r>
      <rPr>
        <sz val="7"/>
        <rFont val="Arial"/>
        <family val="2"/>
      </rPr>
      <t>(€ mln), Reported figures</t>
    </r>
  </si>
  <si>
    <t>Exchange rate impact</t>
  </si>
  <si>
    <t>Change in consolid. area</t>
  </si>
  <si>
    <t xml:space="preserve">1Q06 </t>
  </si>
  <si>
    <t>Non Organic elements (b)</t>
  </si>
  <si>
    <t>NNG (d)</t>
  </si>
  <si>
    <t>Reported figures (f)</t>
  </si>
  <si>
    <t>Organic Figures (c=a+b)</t>
  </si>
  <si>
    <t>(h/c-1)</t>
  </si>
  <si>
    <t>(h/e-1)</t>
  </si>
  <si>
    <r>
      <t>D%</t>
    </r>
    <r>
      <rPr>
        <b/>
        <i/>
        <sz val="14"/>
        <rFont val="Arial"/>
        <family val="2"/>
      </rPr>
      <t xml:space="preserve"> yoy rep.</t>
    </r>
  </si>
  <si>
    <r>
      <t>D%</t>
    </r>
    <r>
      <rPr>
        <b/>
        <i/>
        <sz val="14"/>
        <rFont val="Arial"/>
        <family val="2"/>
      </rPr>
      <t xml:space="preserve"> yoy org.</t>
    </r>
  </si>
  <si>
    <r>
      <t>D%</t>
    </r>
    <r>
      <rPr>
        <b/>
        <i/>
        <sz val="14"/>
        <rFont val="Arial"/>
        <family val="2"/>
      </rPr>
      <t xml:space="preserve"> yoy net of  NNG</t>
    </r>
  </si>
  <si>
    <t>(f/a-1)</t>
  </si>
  <si>
    <t>Other Activities</t>
  </si>
  <si>
    <t>Eliminations</t>
  </si>
  <si>
    <t>Organic Figuers (h=f+g)</t>
  </si>
  <si>
    <t>Eliminations &amp; others</t>
  </si>
  <si>
    <t>Brazil reorganization</t>
  </si>
  <si>
    <t>Others</t>
  </si>
  <si>
    <t>Magnum Project</t>
  </si>
  <si>
    <t>Other Real estate</t>
  </si>
  <si>
    <t>(2) Other non Organic items on EBITDA</t>
  </si>
  <si>
    <t>(2) Other non Organic items on EBIT</t>
  </si>
  <si>
    <t>Quarterly Reported &amp; Organic Figures: yoy trends</t>
  </si>
  <si>
    <t xml:space="preserve">2Q06 </t>
  </si>
  <si>
    <t xml:space="preserve">3Q06 </t>
  </si>
  <si>
    <t xml:space="preserve">(1)  In accordance with Agcom deliberation 417/06/CONS, starting January 1st 2007, Telecom Italia invoices services rendered by OLO on NNG while does not assume credit risks. These services, since January 1st are not longer recorded as revenues and costs </t>
  </si>
  <si>
    <t xml:space="preserve">1H06 </t>
  </si>
  <si>
    <t xml:space="preserve">(€ mln) </t>
  </si>
  <si>
    <r>
      <t>REVENUES</t>
    </r>
    <r>
      <rPr>
        <b/>
        <vertAlign val="superscript"/>
        <sz val="9"/>
        <rFont val="Arial"/>
        <family val="2"/>
      </rPr>
      <t>(2)</t>
    </r>
    <r>
      <rPr>
        <sz val="7"/>
        <rFont val="Arial"/>
        <family val="2"/>
      </rPr>
      <t>(€ mln)</t>
    </r>
  </si>
  <si>
    <t xml:space="preserve">EBIT </t>
  </si>
  <si>
    <t>Organic Figures (h=f+g)</t>
  </si>
  <si>
    <t>P&amp;L Group YTD</t>
  </si>
  <si>
    <t>Key Financial data by BU YTD</t>
  </si>
  <si>
    <t>P&amp;L Group by quarter</t>
  </si>
  <si>
    <r>
      <t>Organic Figures net of NNG</t>
    </r>
    <r>
      <rPr>
        <b/>
        <vertAlign val="superscript"/>
        <sz val="10"/>
        <color indexed="9"/>
        <rFont val="Arial"/>
        <family val="0"/>
      </rPr>
      <t>1</t>
    </r>
    <r>
      <rPr>
        <b/>
        <sz val="10"/>
        <color indexed="9"/>
        <rFont val="Arial"/>
        <family val="0"/>
      </rPr>
      <t xml:space="preserve"> (e=c-d)</t>
    </r>
  </si>
  <si>
    <r>
      <t>Other non organic items</t>
    </r>
    <r>
      <rPr>
        <b/>
        <vertAlign val="superscript"/>
        <sz val="10"/>
        <color indexed="9"/>
        <rFont val="Arial"/>
        <family val="2"/>
      </rPr>
      <t>(2)</t>
    </r>
    <r>
      <rPr>
        <b/>
        <sz val="10"/>
        <color indexed="9"/>
        <rFont val="Arial"/>
        <family val="0"/>
      </rPr>
      <t xml:space="preserve">  (g)</t>
    </r>
  </si>
  <si>
    <r>
      <t>Other non organic items</t>
    </r>
    <r>
      <rPr>
        <b/>
        <i/>
        <vertAlign val="superscript"/>
        <sz val="10"/>
        <rFont val="Arial"/>
        <family val="2"/>
      </rPr>
      <t>(2)</t>
    </r>
  </si>
  <si>
    <r>
      <t>D%</t>
    </r>
    <r>
      <rPr>
        <b/>
        <i/>
        <sz val="10"/>
        <rFont val="Arial"/>
        <family val="2"/>
      </rPr>
      <t xml:space="preserve"> yoy rep.</t>
    </r>
  </si>
  <si>
    <r>
      <t>D%</t>
    </r>
    <r>
      <rPr>
        <b/>
        <i/>
        <sz val="10"/>
        <rFont val="Arial"/>
        <family val="2"/>
      </rPr>
      <t xml:space="preserve"> yoy org.</t>
    </r>
  </si>
  <si>
    <r>
      <t>D%</t>
    </r>
    <r>
      <rPr>
        <b/>
        <i/>
        <sz val="10"/>
        <rFont val="Arial"/>
        <family val="2"/>
      </rPr>
      <t xml:space="preserve"> yoy net of  NNG</t>
    </r>
  </si>
  <si>
    <r>
      <t>Other non organic items</t>
    </r>
    <r>
      <rPr>
        <b/>
        <vertAlign val="superscript"/>
        <sz val="10"/>
        <color indexed="9"/>
        <rFont val="Arial"/>
        <family val="0"/>
      </rPr>
      <t>(2)</t>
    </r>
    <r>
      <rPr>
        <b/>
        <sz val="10"/>
        <color indexed="9"/>
        <rFont val="Arial"/>
        <family val="0"/>
      </rPr>
      <t xml:space="preserve">  (g)</t>
    </r>
  </si>
  <si>
    <r>
      <t>Other non organic items</t>
    </r>
    <r>
      <rPr>
        <b/>
        <i/>
        <vertAlign val="superscript"/>
        <sz val="10"/>
        <rFont val="Arial"/>
        <family val="0"/>
      </rPr>
      <t>(2)</t>
    </r>
  </si>
  <si>
    <t>Writedowns and revaluations of non current assets</t>
  </si>
  <si>
    <t>Gains/losses of non current assets realization</t>
  </si>
  <si>
    <t>Gains / losses of non current assets realization</t>
  </si>
  <si>
    <t>Domestic Wireline Results</t>
  </si>
  <si>
    <t>Domestic Mobile Results</t>
  </si>
  <si>
    <t>TIM Brasil Results</t>
  </si>
  <si>
    <t>Key Financial data by BU by quarter</t>
  </si>
  <si>
    <t xml:space="preserve">Reported &amp; Organic Figures YTD </t>
  </si>
  <si>
    <t>Reported &amp; Organic Figures by quarter</t>
  </si>
  <si>
    <t>FY07</t>
  </si>
  <si>
    <t xml:space="preserve">4Q06 </t>
  </si>
  <si>
    <t>4Q07</t>
  </si>
  <si>
    <t>CASH FLOWS FROM OPERATING ACTIVITIES:</t>
  </si>
  <si>
    <t xml:space="preserve">Depreciation and amortization </t>
  </si>
  <si>
    <t xml:space="preserve">Net change in deferred tax assets and liabilities </t>
  </si>
  <si>
    <t>Change in other operating assets/liabilities:</t>
  </si>
  <si>
    <t>Change in inventories</t>
  </si>
  <si>
    <t>Change in trade receivables and net receivables on construction contracts</t>
  </si>
  <si>
    <t>Change in trade payables</t>
  </si>
  <si>
    <t>Net change in miscellaneous receivables/payables and other assets/liabilities</t>
  </si>
  <si>
    <t>CASH FLOWS FROM INVESTING ACTIVITIES:</t>
  </si>
  <si>
    <t>Change in amounts due to fixed asset suppliers</t>
  </si>
  <si>
    <t xml:space="preserve">Acquisitions of other investments  </t>
  </si>
  <si>
    <t xml:space="preserve">Change in financial receivables and other financial assets </t>
  </si>
  <si>
    <t>CASH FLOWS FROM FINANCING ACTIVITIES:</t>
  </si>
  <si>
    <t xml:space="preserve">Proceeds from non-current financial liabilities (including current portion) </t>
  </si>
  <si>
    <t xml:space="preserve">Repayments of non-current financial liabilities (including current portion) </t>
  </si>
  <si>
    <t xml:space="preserve">Proceeds from equity instruments </t>
  </si>
  <si>
    <t>Income taxes (paid) received</t>
  </si>
  <si>
    <t xml:space="preserve">Interest expense paid </t>
  </si>
  <si>
    <t xml:space="preserve">Interest income received </t>
  </si>
  <si>
    <t xml:space="preserve">Dividends received </t>
  </si>
  <si>
    <t>ANALYSIS OF NET CASH AND CASH EQUIVALENTS:</t>
  </si>
  <si>
    <t>NET CASH AND CASH EQUIVALENTS AT THE BEGINNING OF THE PERIOD:</t>
  </si>
  <si>
    <t>Cash and cash equivalents - from continuing operations</t>
  </si>
  <si>
    <t>Bank overdraft repayable on demand – from continuing operations</t>
  </si>
  <si>
    <t>NET CASH AND CASH EQUIVALENTS AT THE END OF THE PERIOD:</t>
  </si>
  <si>
    <t>ASSETS</t>
  </si>
  <si>
    <t>NON-CURRENT ASSETS</t>
  </si>
  <si>
    <t>Intangible assets</t>
  </si>
  <si>
    <t>Goodwill</t>
  </si>
  <si>
    <t>Tangible assets</t>
  </si>
  <si>
    <t xml:space="preserve">Property, plant and equipment owned </t>
  </si>
  <si>
    <t xml:space="preserve">Assets held under finance leases </t>
  </si>
  <si>
    <t xml:space="preserve">Other non-current assets </t>
  </si>
  <si>
    <t>Investments in associates and joint ventures accounted for using the equity method</t>
  </si>
  <si>
    <t>Other investments</t>
  </si>
  <si>
    <t>Securities, financial receivables and other non-current financial assets</t>
  </si>
  <si>
    <t xml:space="preserve">Miscellaneous receivables and other non-current assets </t>
  </si>
  <si>
    <t xml:space="preserve">Deferred tax assets  </t>
  </si>
  <si>
    <t xml:space="preserve">TOTAL NON-CURRENT ASSETS (A)  </t>
  </si>
  <si>
    <t>CURRENT ASSETS</t>
  </si>
  <si>
    <t xml:space="preserve">Inventories  </t>
  </si>
  <si>
    <t xml:space="preserve">Trade and miscellaneous receivables and other current assets  </t>
  </si>
  <si>
    <t>Current income tax receivables</t>
  </si>
  <si>
    <t xml:space="preserve">Financial receivables and other current financial assets  </t>
  </si>
  <si>
    <t xml:space="preserve">Cash and cash equivalents  </t>
  </si>
  <si>
    <t>Current assets sub-total</t>
  </si>
  <si>
    <t xml:space="preserve">Discontinued operations/assets held for sale </t>
  </si>
  <si>
    <t>of a financial nature</t>
  </si>
  <si>
    <t>of a non-financial nature</t>
  </si>
  <si>
    <t xml:space="preserve">TOTAL CURRENT ASSETS (B) </t>
  </si>
  <si>
    <t xml:space="preserve">TOTAL ASSETS (A+B) </t>
  </si>
  <si>
    <t>EQUITY AND LIABILITIES</t>
  </si>
  <si>
    <t>EQUITY</t>
  </si>
  <si>
    <t>Equity attributable to equity holders of the Parent</t>
  </si>
  <si>
    <t xml:space="preserve">Equity attributable to Minority Interests </t>
  </si>
  <si>
    <t>TOTAL EQUITY (C)</t>
  </si>
  <si>
    <t xml:space="preserve">NON-CURRENT LIABILITIES </t>
  </si>
  <si>
    <t xml:space="preserve">Non-current financial liabilities </t>
  </si>
  <si>
    <t xml:space="preserve">Deferred tax liabilities </t>
  </si>
  <si>
    <t xml:space="preserve">Miscellaneous payables and other non-current liabilities </t>
  </si>
  <si>
    <t xml:space="preserve">TOTAL NON-CURRENT LIABILITIES (D) </t>
  </si>
  <si>
    <t>CURRENT LIABILITIES</t>
  </si>
  <si>
    <t xml:space="preserve">Current financial liabilities  </t>
  </si>
  <si>
    <t>Trade and miscellaneous payables and other current liabilities</t>
  </si>
  <si>
    <t>Current income tax payables</t>
  </si>
  <si>
    <t>Current liabilities sub-total</t>
  </si>
  <si>
    <t xml:space="preserve">TOTAL CURRENT LIABILITIES (E) </t>
  </si>
  <si>
    <t xml:space="preserve">TOTAL LIABILITIES (F=D+E) </t>
  </si>
  <si>
    <t>TOTAL EQUITY AND LIABILITIES  (C+F)</t>
  </si>
  <si>
    <t>Litigation with OLO</t>
  </si>
  <si>
    <t>Provision relating to Antitrust fine</t>
  </si>
  <si>
    <t>Fastweb arbitration</t>
  </si>
  <si>
    <t>OLO's transaction</t>
  </si>
  <si>
    <t>TILS loss on disposal</t>
  </si>
  <si>
    <t>"Radiomarittimi" loss on disposal</t>
  </si>
  <si>
    <t>TILS writedown</t>
  </si>
  <si>
    <t>TILS Writedown</t>
  </si>
  <si>
    <t>AGGREGATE CASH FLOWS</t>
  </si>
  <si>
    <t>NET CASH AND CASH EQUIVALENTS AT THE BEGINNING OF THE PERIOD</t>
  </si>
  <si>
    <t>NET CASH AND CASH EQUIVALENTS AT THE END OF THE PERIOD</t>
  </si>
  <si>
    <t>ADDITIONAL CASH FLOW INFORMATION (MLN €):</t>
  </si>
  <si>
    <t>Balance Sheet</t>
  </si>
  <si>
    <t>Cashflow Statement</t>
  </si>
  <si>
    <t>Cover</t>
  </si>
  <si>
    <t>Writedown LAN</t>
  </si>
  <si>
    <t>EBITDA Margin before other non organic items (exceptional items)</t>
  </si>
  <si>
    <t>EBIT Margin before other non organic items (exceptional items)</t>
  </si>
  <si>
    <t>EBITDA before other non organic items (exceptional items)</t>
  </si>
  <si>
    <t>EBIT before other non organic items (exceptional items)</t>
  </si>
  <si>
    <t>EBITDA b/other non organic items (Exceptional items)</t>
  </si>
  <si>
    <t>EBIT b/other non organic items (Exceptional items)</t>
  </si>
  <si>
    <t>Other non organic items(2)  (g)</t>
  </si>
  <si>
    <t>4Q 07</t>
  </si>
  <si>
    <t>Termination F-F</t>
  </si>
  <si>
    <t>Olivetti Charges MFP</t>
  </si>
  <si>
    <t>Provision for fine Antitrust</t>
  </si>
  <si>
    <t>AGCOM fine</t>
  </si>
  <si>
    <t>(2) Other non Organic
 items on EBITDA</t>
  </si>
  <si>
    <t>(2) Other non Organic items
 on EBIT</t>
  </si>
  <si>
    <t>(2) Other non Organic
 items on REVENUES</t>
  </si>
  <si>
    <t>H3G Litigation</t>
  </si>
  <si>
    <t>(2) Other non Organic
items on EBIT</t>
  </si>
  <si>
    <t>REVENUES b/other non organic items (Exceptional items)</t>
  </si>
  <si>
    <t>Reported Figures (a)</t>
  </si>
  <si>
    <t>-</t>
  </si>
  <si>
    <t>-6,1pp</t>
  </si>
  <si>
    <t>REVENUES before other non organic items (exceptional items)</t>
  </si>
  <si>
    <t>Restructuring Costs</t>
  </si>
  <si>
    <t>Other non organic items (exceptional items)</t>
  </si>
  <si>
    <t>Other &amp; Elim.</t>
  </si>
  <si>
    <t>1Q08</t>
  </si>
  <si>
    <t>FY07
proforma</t>
  </si>
  <si>
    <t>1Q07
proforma</t>
  </si>
  <si>
    <t>Reported figures</t>
  </si>
  <si>
    <t>* TI France is classified as a Discontinued Operations</t>
  </si>
  <si>
    <t>o/w Wholesale Line Rental</t>
  </si>
  <si>
    <t>-8.3pp</t>
  </si>
  <si>
    <t>19,9pp</t>
  </si>
  <si>
    <r>
      <t xml:space="preserve">(2) </t>
    </r>
    <r>
      <rPr>
        <sz val="7"/>
        <rFont val="Arial"/>
        <family val="2"/>
      </rPr>
      <t>Excluding change in accounting for Non Geographic Numbers (-119 mln euro in 1Q06, 111 mln euro in 2Q06, 143 mln euro in 3Q06, 69 mln in 4Q06).  In accordance with Agcom deliberation 417/06/CONS, starting January 1</t>
    </r>
    <r>
      <rPr>
        <vertAlign val="superscript"/>
        <sz val="7"/>
        <rFont val="Arial"/>
        <family val="2"/>
      </rPr>
      <t>st</t>
    </r>
    <r>
      <rPr>
        <sz val="7"/>
        <rFont val="Arial"/>
        <family val="2"/>
      </rPr>
      <t xml:space="preserve"> 2007, Telecom Italia invoices servi</t>
    </r>
  </si>
  <si>
    <r>
      <t xml:space="preserve">(2) </t>
    </r>
    <r>
      <rPr>
        <sz val="8"/>
        <rFont val="Arial"/>
        <family val="2"/>
      </rPr>
      <t>Excluding change in accounting for Non Geographic Numbers.  In accordance with Agcom deliberation 417/06/CONS, starting January 1</t>
    </r>
    <r>
      <rPr>
        <vertAlign val="superscript"/>
        <sz val="8"/>
        <rFont val="Arial"/>
        <family val="2"/>
      </rPr>
      <t>st</t>
    </r>
    <r>
      <rPr>
        <sz val="8"/>
        <rFont val="Arial"/>
        <family val="2"/>
      </rPr>
      <t xml:space="preserve"> 2007, Telecom Italia invoices services rendered by OLO on NNG while does not assume credit risks. These services, since</t>
    </r>
  </si>
  <si>
    <r>
      <t xml:space="preserve">o/w VAS </t>
    </r>
    <r>
      <rPr>
        <vertAlign val="superscript"/>
        <sz val="8"/>
        <rFont val="Arial"/>
        <family val="2"/>
      </rPr>
      <t>(4)</t>
    </r>
  </si>
  <si>
    <t>(1) Other non Organic items on EBIT</t>
  </si>
  <si>
    <t>Provisions for pending legal disputes</t>
  </si>
  <si>
    <t>Gain on Real Estate disposals</t>
  </si>
  <si>
    <r>
      <t xml:space="preserve">BroadBand Accesses Wholesale </t>
    </r>
    <r>
      <rPr>
        <sz val="7"/>
        <rFont val="Arial"/>
        <family val="2"/>
      </rPr>
      <t>('000)</t>
    </r>
  </si>
  <si>
    <r>
      <t xml:space="preserve">TI Retail Broadband Accesses </t>
    </r>
    <r>
      <rPr>
        <sz val="7"/>
        <rFont val="Arial"/>
        <family val="2"/>
      </rPr>
      <t>('000)</t>
    </r>
  </si>
  <si>
    <t>o/w Business</t>
  </si>
  <si>
    <t>o/w Consumer</t>
  </si>
  <si>
    <r>
      <t xml:space="preserve">BB Arpu </t>
    </r>
    <r>
      <rPr>
        <sz val="7"/>
        <rFont val="Arial"/>
        <family val="2"/>
      </rPr>
      <t>(euro/mese)</t>
    </r>
  </si>
  <si>
    <r>
      <t xml:space="preserve">% flat offers on TI total portfolio </t>
    </r>
    <r>
      <rPr>
        <sz val="7"/>
        <rFont val="Arial"/>
        <family val="2"/>
      </rPr>
      <t>(Consumer+Business)</t>
    </r>
  </si>
  <si>
    <r>
      <t xml:space="preserve">IPTV </t>
    </r>
    <r>
      <rPr>
        <sz val="7"/>
        <rFont val="Arial"/>
        <family val="2"/>
      </rPr>
      <t>('000)</t>
    </r>
  </si>
  <si>
    <t>n.a.</t>
  </si>
  <si>
    <t>Historic Reported &amp; Organic Figures: yoy trends</t>
  </si>
  <si>
    <t>Historic Quarterly Reported &amp; Organic Figures: yoy trends</t>
  </si>
  <si>
    <r>
      <t xml:space="preserve">Usage </t>
    </r>
    <r>
      <rPr>
        <sz val="7"/>
        <rFont val="Arial"/>
        <family val="2"/>
      </rPr>
      <t>(min/line/month)</t>
    </r>
    <r>
      <rPr>
        <vertAlign val="superscript"/>
        <sz val="7"/>
        <rFont val="Arial"/>
        <family val="2"/>
      </rPr>
      <t>(5)</t>
    </r>
  </si>
  <si>
    <t>(1) Other non Organic items on EBITDA</t>
  </si>
  <si>
    <r>
      <t>D%</t>
    </r>
    <r>
      <rPr>
        <b/>
        <i/>
        <sz val="8"/>
        <color indexed="22"/>
        <rFont val="Arial"/>
        <family val="2"/>
      </rPr>
      <t xml:space="preserve"> yoy</t>
    </r>
  </si>
  <si>
    <r>
      <t xml:space="preserve">Pro-forma figures </t>
    </r>
    <r>
      <rPr>
        <b/>
        <vertAlign val="superscript"/>
        <sz val="12"/>
        <rFont val="Arial"/>
        <family val="2"/>
      </rPr>
      <t>(1)</t>
    </r>
  </si>
  <si>
    <r>
      <t>Pro-forma figures</t>
    </r>
    <r>
      <rPr>
        <b/>
        <vertAlign val="superscript"/>
        <sz val="9"/>
        <rFont val="Arial"/>
        <family val="2"/>
      </rPr>
      <t xml:space="preserve"> </t>
    </r>
    <r>
      <rPr>
        <b/>
        <vertAlign val="superscript"/>
        <sz val="12"/>
        <rFont val="Arial"/>
        <family val="2"/>
      </rPr>
      <t>(1)</t>
    </r>
  </si>
  <si>
    <r>
      <t xml:space="preserve">Other non organic items on REVENUES (Exceptional items) </t>
    </r>
    <r>
      <rPr>
        <vertAlign val="superscript"/>
        <sz val="8"/>
        <rFont val="Arial"/>
        <family val="2"/>
      </rPr>
      <t>(2)</t>
    </r>
  </si>
  <si>
    <r>
      <t xml:space="preserve">Other non organic items on EBITDA (Exceptional items) </t>
    </r>
    <r>
      <rPr>
        <vertAlign val="superscript"/>
        <sz val="8"/>
        <rFont val="Arial"/>
        <family val="2"/>
      </rPr>
      <t>(2)</t>
    </r>
  </si>
  <si>
    <r>
      <t xml:space="preserve">Other non organic items on EBIT (Exceptional items) </t>
    </r>
    <r>
      <rPr>
        <vertAlign val="superscript"/>
        <sz val="8"/>
        <rFont val="Arial"/>
        <family val="2"/>
      </rPr>
      <t>(2)</t>
    </r>
  </si>
  <si>
    <r>
      <t>Other non organic items on EBIT (Exceptional items)</t>
    </r>
    <r>
      <rPr>
        <vertAlign val="superscript"/>
        <sz val="8"/>
        <rFont val="Arial"/>
        <family val="2"/>
      </rPr>
      <t xml:space="preserve"> (2)</t>
    </r>
  </si>
  <si>
    <r>
      <t xml:space="preserve">other non organic items (exceptional items) </t>
    </r>
    <r>
      <rPr>
        <vertAlign val="superscript"/>
        <sz val="8"/>
        <rFont val="Arial"/>
        <family val="2"/>
      </rPr>
      <t>(2)</t>
    </r>
  </si>
  <si>
    <r>
      <t>Pro-forma figures</t>
    </r>
    <r>
      <rPr>
        <b/>
        <vertAlign val="superscript"/>
        <sz val="12"/>
        <rFont val="Arial"/>
        <family val="2"/>
      </rPr>
      <t xml:space="preserve"> (1)</t>
    </r>
  </si>
  <si>
    <r>
      <t xml:space="preserve">(2) </t>
    </r>
    <r>
      <rPr>
        <sz val="7"/>
        <rFont val="Arial"/>
        <family val="2"/>
      </rPr>
      <t>Roaming volumes not included</t>
    </r>
  </si>
  <si>
    <r>
      <t xml:space="preserve">(3) </t>
    </r>
    <r>
      <rPr>
        <sz val="7"/>
        <rFont val="Arial"/>
        <family val="2"/>
      </rPr>
      <t>Outgoing voice revenues include roaming revenues</t>
    </r>
  </si>
  <si>
    <r>
      <t xml:space="preserve">(4) </t>
    </r>
    <r>
      <rPr>
        <sz val="7"/>
        <rFont val="Arial"/>
        <family val="2"/>
      </rPr>
      <t>Includes other wholesale reveneus</t>
    </r>
  </si>
  <si>
    <r>
      <t xml:space="preserve">Estimated Total Penetration </t>
    </r>
    <r>
      <rPr>
        <sz val="7"/>
        <rFont val="Arial"/>
        <family val="2"/>
      </rPr>
      <t xml:space="preserve">(%) </t>
    </r>
    <r>
      <rPr>
        <vertAlign val="superscript"/>
        <sz val="7"/>
        <rFont val="Arial"/>
        <family val="2"/>
      </rPr>
      <t>(1</t>
    </r>
    <r>
      <rPr>
        <vertAlign val="superscript"/>
        <sz val="8"/>
        <rFont val="Arial"/>
        <family val="2"/>
      </rPr>
      <t>)</t>
    </r>
  </si>
  <si>
    <r>
      <t>Market Share on total lines</t>
    </r>
    <r>
      <rPr>
        <i/>
        <sz val="7"/>
        <rFont val="Arial"/>
        <family val="2"/>
      </rPr>
      <t xml:space="preserve">(%) </t>
    </r>
    <r>
      <rPr>
        <i/>
        <vertAlign val="superscript"/>
        <sz val="8"/>
        <rFont val="Arial"/>
        <family val="2"/>
      </rPr>
      <t>(1)</t>
    </r>
  </si>
  <si>
    <r>
      <t>(1)</t>
    </r>
    <r>
      <rPr>
        <i/>
        <sz val="7"/>
        <rFont val="Arial"/>
        <family val="2"/>
      </rPr>
      <t xml:space="preserve"> source ANATEL</t>
    </r>
  </si>
  <si>
    <r>
      <t xml:space="preserve">GERMANY (Hansenet) </t>
    </r>
    <r>
      <rPr>
        <b/>
        <vertAlign val="superscript"/>
        <sz val="8"/>
        <rFont val="Arial"/>
        <family val="2"/>
      </rPr>
      <t>(2)</t>
    </r>
  </si>
  <si>
    <t xml:space="preserve">Starting from 1Q08, in line with Company guidance, restructuring costs are accounted as recurring items and no longer included among the non organic items </t>
  </si>
  <si>
    <t>Historic Data</t>
  </si>
  <si>
    <t>Historic Quartely Proforma</t>
  </si>
  <si>
    <t>Index</t>
  </si>
  <si>
    <t>1Q06 figures restatement</t>
  </si>
  <si>
    <t>P&amp;L Group</t>
  </si>
  <si>
    <t>OLD VIEW</t>
  </si>
  <si>
    <t>NEW VIEW</t>
  </si>
  <si>
    <t>Key Financial data by BU</t>
  </si>
  <si>
    <t>1Q06 reported</t>
  </si>
  <si>
    <t>Adjustements</t>
  </si>
  <si>
    <t>1Q06 proforma</t>
  </si>
  <si>
    <t>(a)</t>
  </si>
  <si>
    <t>(b)</t>
  </si>
  <si>
    <t>(a+b)</t>
  </si>
  <si>
    <t>Domestic Business results</t>
  </si>
  <si>
    <t>Wireline Domestic</t>
  </si>
  <si>
    <t>Wireline Domestic*</t>
  </si>
  <si>
    <t>Domestic Wireline</t>
  </si>
  <si>
    <t>Mobile Domestic</t>
  </si>
  <si>
    <t>Domestic Mobile</t>
  </si>
  <si>
    <t>Corporate, Elim. &amp; Adj.**</t>
  </si>
  <si>
    <t>Corporate, Elim. &amp; Adj.</t>
  </si>
  <si>
    <t>European Project</t>
  </si>
  <si>
    <t>Shareholder Structure</t>
  </si>
  <si>
    <t xml:space="preserve">TIM Brasil </t>
  </si>
  <si>
    <t>Main Group's Subsidiaries</t>
  </si>
  <si>
    <t>Media</t>
  </si>
  <si>
    <t>Glossary</t>
  </si>
  <si>
    <t>Other, Elim. &amp; Adj.</t>
  </si>
  <si>
    <t>Total TI Group</t>
  </si>
  <si>
    <t>EBITDA reported</t>
  </si>
  <si>
    <t>EBITDA before exceptionals</t>
  </si>
  <si>
    <t>* In the "old view" intercompany revenues relative to European Project were netted from domestic perimeter revenues. This accounting practise refers only to revenues (18 € mln), not to EBITDA or EBIT.</t>
  </si>
  <si>
    <t xml:space="preserve">** In the "new view", most of "Corporate" P&amp;L is now included in "Domestic". Eliminations between Domestic mobile and fixed are calculated within the Domestic perimeter. </t>
  </si>
  <si>
    <t>EBIT reported</t>
  </si>
  <si>
    <t>EBIT before exceptionals</t>
  </si>
  <si>
    <t>1H06 figures restatement</t>
  </si>
  <si>
    <t>1H06 reported</t>
  </si>
  <si>
    <t>1H06 proforma</t>
  </si>
  <si>
    <t>* Intercompany revenues relative to European Project were netted from domestic perimeter revenues in the "old view". This accounting practise refers to revenues (42 € mln) and EBIT (-6 € mln), not to EBITDA . In addition, in line with the current 2007 cla</t>
  </si>
  <si>
    <t>*** Differences from Analyst Day figures are related to the inclusion within "Other activities" of companies previously part of the Domestic perimeter. At the Ebit level this includes the accounting of capital losses from TILS and Eustema (+25 € mln) amon</t>
  </si>
  <si>
    <t>* Intercompany revenues relative to European Project were netted from domestic perimeter revenues in the "old view". This accounting practise refers to revenues (42 € mln), not to EBITDA and EBIT (-6 € mln). In addition, in line with the current 2007 clas</t>
  </si>
  <si>
    <t>9M06 figures restatement</t>
  </si>
  <si>
    <t>9M06 reported</t>
  </si>
  <si>
    <t>9M06 proforma</t>
  </si>
  <si>
    <t>* Intercompany revenues relative to European Project were netted from domestic perimeter revenues in the "old view". This accounting practise refers to revenues (67 € mln) and EBIT (-9 € mln), not to EBITDA . In addition, in line with the current 2007 cla</t>
  </si>
  <si>
    <t>FY06 figures restatement</t>
  </si>
  <si>
    <t>FY06 reported</t>
  </si>
  <si>
    <t>FY06 proforma</t>
  </si>
  <si>
    <t>Domestic***</t>
  </si>
  <si>
    <t>* Intercompany revenues relative to European Project were netted from domestic perimeter revenues in the "old view". This accounting practise refers only to revenues (99 € mln), not to EBITDA or EBIT. In addition, in line with the current 2007 classificat</t>
  </si>
  <si>
    <t>*** Differences from Analyst Day figures are related to the inclusion within "Other activities" of companies previously part of the Domestic perimeter. At the Ebit level this includes the accounting of capital losses from TILS and Eustema (+34 € mln) amon</t>
  </si>
  <si>
    <t>1H08</t>
  </si>
  <si>
    <t>2Q08</t>
  </si>
  <si>
    <t>Euro mln</t>
  </si>
  <si>
    <t>Headcount including temporary work</t>
  </si>
  <si>
    <t>Revenues</t>
  </si>
  <si>
    <t>Ebitda</t>
  </si>
  <si>
    <t>37,3%</t>
  </si>
  <si>
    <t>41,3%</t>
  </si>
  <si>
    <t>Ebit</t>
  </si>
  <si>
    <t>17,6%</t>
  </si>
  <si>
    <t>23,2%</t>
  </si>
  <si>
    <t>Opex</t>
  </si>
  <si>
    <t>Capex/Revenues</t>
  </si>
  <si>
    <t>19,9%</t>
  </si>
  <si>
    <t>15,7%</t>
  </si>
  <si>
    <t>OFCF/Revenues</t>
  </si>
  <si>
    <t>10,7%</t>
  </si>
  <si>
    <t>18,7%</t>
  </si>
  <si>
    <t>Δ</t>
  </si>
  <si>
    <t>%</t>
  </si>
  <si>
    <t>Ebitda Margin</t>
  </si>
  <si>
    <t>Ebit Margin</t>
  </si>
  <si>
    <t>Income before Taxes &amp; Disc. Ops.</t>
  </si>
  <si>
    <t>Income before Disc. Ops.</t>
  </si>
  <si>
    <t>Discontinued Operations</t>
  </si>
  <si>
    <t>Cash Cost</t>
  </si>
  <si>
    <t>Capital Expenditure</t>
  </si>
  <si>
    <t>Operating Free Cash Flow</t>
  </si>
  <si>
    <t>Net Financial Position</t>
  </si>
  <si>
    <t>Net Financial Position excl. Disc. Ops.</t>
  </si>
  <si>
    <t>Headcount (End of Period)</t>
  </si>
  <si>
    <t>Headcount (End of Period) excl. Disc. Ops.</t>
  </si>
  <si>
    <t>Hansenet</t>
  </si>
  <si>
    <t>Elim.</t>
  </si>
  <si>
    <t>Tim Domestic</t>
  </si>
  <si>
    <t>Funzioni Centrali</t>
  </si>
  <si>
    <t>European broadband</t>
  </si>
  <si>
    <t>Mobile Brasile</t>
  </si>
  <si>
    <t>change in conso</t>
  </si>
  <si>
    <t>other non organic items</t>
  </si>
  <si>
    <t>exchange rate</t>
  </si>
  <si>
    <t>2Q07 organic</t>
  </si>
  <si>
    <t>2Q08 organic</t>
  </si>
  <si>
    <t>2Q07 actual</t>
  </si>
  <si>
    <t>2Q08  actual</t>
  </si>
  <si>
    <t>delta YoY</t>
  </si>
  <si>
    <t>delta YoY %</t>
  </si>
  <si>
    <t>IQ07</t>
  </si>
  <si>
    <t>IQ08</t>
  </si>
  <si>
    <t>IIQ07</t>
  </si>
  <si>
    <t>IIIQ07</t>
  </si>
  <si>
    <t>IVQ07</t>
  </si>
  <si>
    <t>IIQ08</t>
  </si>
  <si>
    <t>IH07</t>
  </si>
  <si>
    <t>IH08</t>
  </si>
  <si>
    <t>Brasile</t>
  </si>
  <si>
    <t>Other &amp; Elim</t>
  </si>
  <si>
    <t>capex</t>
  </si>
  <si>
    <t>Investments</t>
  </si>
  <si>
    <t>Provision Antitrust fine</t>
  </si>
  <si>
    <t>Other</t>
  </si>
  <si>
    <t>1H07
proforma</t>
  </si>
  <si>
    <t>(1) TI France is classified as a discontinued operations</t>
  </si>
  <si>
    <t>o/w Naked</t>
  </si>
  <si>
    <t>OLO Access (on TI infrastructure)</t>
  </si>
  <si>
    <t>-11,4pp</t>
  </si>
  <si>
    <t>-3,2pp</t>
  </si>
  <si>
    <t xml:space="preserve">Intangible assets with a finite useful life </t>
  </si>
  <si>
    <t>Employee benefits</t>
  </si>
  <si>
    <t>Provisions</t>
  </si>
  <si>
    <t xml:space="preserve">Profit from continuing operations </t>
  </si>
  <si>
    <t>Adjustments for:</t>
  </si>
  <si>
    <t>Impairment losses (reversals) of non-current assets (including investments)</t>
  </si>
  <si>
    <t xml:space="preserve">Losses (gains) realized on disposals of non-current assets (including investments) </t>
  </si>
  <si>
    <t>Change in employee benefits</t>
  </si>
  <si>
    <t>CASH FLOWS FROM (USED IN) OPERATING ACTIVITIES</t>
  </si>
  <si>
    <t>Purchase of intangible assets on an accrual basis</t>
  </si>
  <si>
    <t>Purchase of tangible assets on an accrual basis</t>
  </si>
  <si>
    <t>Total purchases of intangible and tangible assets on an accrual basis</t>
  </si>
  <si>
    <t>Total purchase of intangible and tangible assets on a cash basis</t>
  </si>
  <si>
    <t>CASH FLOWS FROM (USED IN) DISCONTINUED OPERATIONS/ NON-CURRENT ASSETS HELD FOR SALE</t>
  </si>
  <si>
    <t>CASH FLOWS FROM (USED IN) FINANCING ACTIVITIES</t>
  </si>
  <si>
    <t>Cash and cash equivalents - from discontinued operations/non-current assets held for sale</t>
  </si>
  <si>
    <t>Bank overdraft repayable on demand – from discontinued operations/non-current assets held for sale</t>
  </si>
  <si>
    <t>Acquisitions of subsidiaries and businesses, net of cash acquired</t>
  </si>
  <si>
    <t>Proceeds from sale of subsidiaries, net of cash disposed of</t>
  </si>
  <si>
    <t xml:space="preserve">Proceeds from sale/repayment of intangible, tangible and other non-current assets </t>
  </si>
  <si>
    <t>Share of losses (profits) of associates and joint ventures accounted for using the equity method</t>
  </si>
  <si>
    <t>CASH FLOWS FROM (USED IN) INVESTING ACTIVITIES</t>
  </si>
  <si>
    <t>Change in current financial liabilities and other</t>
  </si>
  <si>
    <t xml:space="preserve">Dividends paid </t>
  </si>
  <si>
    <t>Net effect of exchange differences on net cash and cash equivalents</t>
  </si>
  <si>
    <r>
      <t>(5)</t>
    </r>
    <r>
      <rPr>
        <sz val="7"/>
        <rFont val="Arial"/>
        <family val="2"/>
      </rPr>
      <t xml:space="preserve"> Retail</t>
    </r>
  </si>
  <si>
    <r>
      <t>ARPU</t>
    </r>
    <r>
      <rPr>
        <vertAlign val="superscript"/>
        <sz val="7"/>
        <rFont val="Arial"/>
        <family val="2"/>
      </rPr>
      <t>(5)</t>
    </r>
  </si>
  <si>
    <t>Non organic restructuring costs related to the Headcount reduction Plan
announced on June 4,2008</t>
  </si>
  <si>
    <t>Termination M-F and provision for pending legal disputes</t>
  </si>
  <si>
    <t>(2) For details, see section "Quarterly Reported &amp; Organic Figures"</t>
  </si>
  <si>
    <r>
      <t>(1)</t>
    </r>
    <r>
      <rPr>
        <sz val="6"/>
        <rFont val="Arial"/>
        <family val="2"/>
      </rPr>
      <t xml:space="preserve"> TI France is classified as a discontinued operations</t>
    </r>
  </si>
  <si>
    <r>
      <t xml:space="preserve">(2)  </t>
    </r>
    <r>
      <rPr>
        <sz val="6"/>
        <rFont val="Arial"/>
        <family val="2"/>
      </rPr>
      <t>For details, see section "Quarterly Reported &amp; Organic Figures"</t>
    </r>
  </si>
  <si>
    <t xml:space="preserve">Liabilities directly associated with Discontinued operations/Non-current assets held for sale </t>
  </si>
  <si>
    <t>Reported &amp; Organic figures 1Q08 vs 1Q07</t>
  </si>
  <si>
    <t>Reported &amp; Organic figures 2Q08 vs 2Q07</t>
  </si>
  <si>
    <t>9M08</t>
  </si>
  <si>
    <t>3Q08</t>
  </si>
  <si>
    <t>Personnel</t>
  </si>
  <si>
    <r>
      <t xml:space="preserve">EUROPEAN BROADBAND </t>
    </r>
    <r>
      <rPr>
        <b/>
        <vertAlign val="superscript"/>
        <sz val="8"/>
        <rFont val="Arial"/>
        <family val="2"/>
      </rPr>
      <t>(1)</t>
    </r>
  </si>
  <si>
    <t>9M07
proforma</t>
  </si>
  <si>
    <t>Proceeds from increase/refund of share capital</t>
  </si>
  <si>
    <r>
      <t>(2)</t>
    </r>
    <r>
      <rPr>
        <sz val="8"/>
        <rFont val="Arial"/>
        <family val="2"/>
      </rPr>
      <t xml:space="preserve"> Including AOL since 1Q 07</t>
    </r>
  </si>
  <si>
    <r>
      <t xml:space="preserve">(1) </t>
    </r>
    <r>
      <rPr>
        <sz val="8"/>
        <rFont val="Arial"/>
        <family val="2"/>
      </rPr>
      <t>TI France is classified as a discontinued operations</t>
    </r>
  </si>
  <si>
    <r>
      <t>(1)</t>
    </r>
    <r>
      <rPr>
        <sz val="7"/>
        <rFont val="Arial"/>
        <family val="2"/>
      </rPr>
      <t xml:space="preserve"> Incoming+Outgoing Mobile Retail + Wholesale excluding Visitors</t>
    </r>
  </si>
  <si>
    <t>Reported &amp; Organic figures 3Q08 vs 3Q07</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</si>
</sst>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0.0\p\p"/>
    <numFmt numFmtId="168" formatCode="0.0"/>
    <numFmt numFmtId="169" formatCode="#,##0_ ;\-#,##0\ "/>
    <numFmt numFmtId="170" formatCode="_-* #,##0.0_-;\-* #,##0.0_-;_-* &quot;-&quot;_-;_-@_-"/>
    <numFmt numFmtId="171" formatCode="#,##0.0"/>
    <numFmt numFmtId="172" formatCode="_(* #,##0_);_(* \(#,##0\);_(* &quot;-&quot;??_);_(@\)_)"/>
    <numFmt numFmtId="173" formatCode="#,##0.0000"/>
    <numFmt numFmtId="174" formatCode="#,##0\ ;\(#,##0\)"/>
    <numFmt numFmtId="175" formatCode="#,##0.0\ ;\(#,##0.0\);\-"/>
    <numFmt numFmtId="176" formatCode="#,##0.00\ ;\(#,##0.00\);\-"/>
    <numFmt numFmtId="177" formatCode="#,##0.000\ ;\(#,##0.000\);\-"/>
    <numFmt numFmtId="178" formatCode="#,##0.0000\ ;\(#,##0.0000\);\-"/>
    <numFmt numFmtId="179" formatCode="0.000"/>
    <numFmt numFmtId="180" formatCode="0.0000"/>
    <numFmt numFmtId="181" formatCode="_(* #,##0.0_);_(* \(#,##0.0\);_(* &quot;-&quot;??_);_(@\)_)"/>
    <numFmt numFmtId="182" formatCode="_(* #,##0.00_);_(* \(#,##0.00\);_(* &quot;-&quot;??_);_(@\)_)"/>
    <numFmt numFmtId="183" formatCode="_(* #,##0.000_);_(* \(#,##0.000\);_(* &quot;-&quot;??_);_(@\)_)"/>
    <numFmt numFmtId="184" formatCode="_(* #,##0.0000_);_(* \(#,##0.0000\);_(* &quot;-&quot;??_);_(@\)_)"/>
    <numFmt numFmtId="185" formatCode="_-* #,##0.0_-;\-* #,##0.0_-;_-* &quot;-&quot;??_-;_-@_-"/>
    <numFmt numFmtId="186" formatCode="&quot;Yes&quot;;&quot;Yes&quot;;&quot;No&quot;"/>
    <numFmt numFmtId="187" formatCode="&quot;True&quot;;&quot;True&quot;;&quot;False&quot;"/>
    <numFmt numFmtId="188" formatCode="&quot;On&quot;;&quot;On&quot;;&quot;Off&quot;"/>
    <numFmt numFmtId="189" formatCode="[$€-2]\ #,##0.00_);[Red]\([$€-2]\ #,##0.00\)"/>
  </numFmts>
  <fonts count="69">
    <font>
      <sz val="10"/>
      <name val="Arial"/>
      <family val="0"/>
    </font>
    <font>
      <b/>
      <sz val="10"/>
      <name val="Arial"/>
      <family val="2"/>
    </font>
    <font>
      <sz val="8"/>
      <name val="Arial"/>
      <family val="0"/>
    </font>
    <font>
      <b/>
      <sz val="12"/>
      <name val="Arial"/>
      <family val="2"/>
    </font>
    <font>
      <i/>
      <sz val="8"/>
      <name val="Arial"/>
      <family val="2"/>
    </font>
    <font>
      <sz val="10"/>
      <color indexed="10"/>
      <name val="Arial"/>
      <family val="0"/>
    </font>
    <font>
      <b/>
      <sz val="10"/>
      <color indexed="9"/>
      <name val="Arial"/>
      <family val="2"/>
    </font>
    <font>
      <b/>
      <i/>
      <sz val="10"/>
      <color indexed="9"/>
      <name val="Arial"/>
      <family val="2"/>
    </font>
    <font>
      <u val="single"/>
      <sz val="10"/>
      <color indexed="12"/>
      <name val="Arial"/>
      <family val="0"/>
    </font>
    <font>
      <u val="single"/>
      <sz val="10"/>
      <color indexed="36"/>
      <name val="Arial"/>
      <family val="0"/>
    </font>
    <font>
      <b/>
      <sz val="8"/>
      <name val="Arial"/>
      <family val="2"/>
    </font>
    <font>
      <b/>
      <sz val="9"/>
      <name val="Arial"/>
      <family val="2"/>
    </font>
    <font>
      <sz val="6"/>
      <name val="Arial"/>
      <family val="2"/>
    </font>
    <font>
      <sz val="7"/>
      <name val="Arial"/>
      <family val="2"/>
    </font>
    <font>
      <b/>
      <i/>
      <sz val="8"/>
      <name val="Arial"/>
      <family val="2"/>
    </font>
    <font>
      <sz val="7"/>
      <color indexed="10"/>
      <name val="Arial"/>
      <family val="0"/>
    </font>
    <font>
      <sz val="10"/>
      <color indexed="8"/>
      <name val="MS Sans Serif"/>
      <family val="0"/>
    </font>
    <font>
      <b/>
      <u val="single"/>
      <sz val="14"/>
      <name val="Arial"/>
      <family val="0"/>
    </font>
    <font>
      <sz val="14"/>
      <name val="Arial"/>
      <family val="0"/>
    </font>
    <font>
      <b/>
      <u val="single"/>
      <sz val="12"/>
      <name val="Arial"/>
      <family val="0"/>
    </font>
    <font>
      <sz val="12"/>
      <name val="Arial"/>
      <family val="0"/>
    </font>
    <font>
      <i/>
      <sz val="9"/>
      <name val="Arial"/>
      <family val="2"/>
    </font>
    <font>
      <b/>
      <sz val="8"/>
      <color indexed="10"/>
      <name val="Arial"/>
      <family val="2"/>
    </font>
    <font>
      <i/>
      <sz val="6"/>
      <name val="Arial"/>
      <family val="2"/>
    </font>
    <font>
      <b/>
      <sz val="10"/>
      <color indexed="10"/>
      <name val="Arial"/>
      <family val="0"/>
    </font>
    <font>
      <b/>
      <sz val="7"/>
      <name val="Arial"/>
      <family val="2"/>
    </font>
    <font>
      <b/>
      <i/>
      <sz val="8"/>
      <color indexed="10"/>
      <name val="Arial"/>
      <family val="2"/>
    </font>
    <font>
      <i/>
      <sz val="8"/>
      <color indexed="10"/>
      <name val="Arial"/>
      <family val="2"/>
    </font>
    <font>
      <b/>
      <sz val="8"/>
      <color indexed="9"/>
      <name val="Arial"/>
      <family val="0"/>
    </font>
    <font>
      <i/>
      <sz val="7"/>
      <name val="Arial"/>
      <family val="2"/>
    </font>
    <font>
      <sz val="8"/>
      <color indexed="9"/>
      <name val="Arial"/>
      <family val="2"/>
    </font>
    <font>
      <b/>
      <i/>
      <sz val="8"/>
      <color indexed="10"/>
      <name val="Symbol"/>
      <family val="1"/>
    </font>
    <font>
      <b/>
      <i/>
      <sz val="8"/>
      <color indexed="9"/>
      <name val="Arial"/>
      <family val="2"/>
    </font>
    <font>
      <sz val="10"/>
      <color indexed="12"/>
      <name val="Arial"/>
      <family val="0"/>
    </font>
    <font>
      <u val="single"/>
      <sz val="7"/>
      <color indexed="12"/>
      <name val="Arial"/>
      <family val="0"/>
    </font>
    <font>
      <sz val="7"/>
      <color indexed="12"/>
      <name val="Arial"/>
      <family val="0"/>
    </font>
    <font>
      <i/>
      <sz val="10"/>
      <name val="Arial"/>
      <family val="2"/>
    </font>
    <font>
      <b/>
      <vertAlign val="superscript"/>
      <sz val="9"/>
      <name val="Arial"/>
      <family val="2"/>
    </font>
    <font>
      <vertAlign val="superscript"/>
      <sz val="7"/>
      <name val="Arial"/>
      <family val="2"/>
    </font>
    <font>
      <vertAlign val="superscript"/>
      <sz val="8"/>
      <name val="Arial"/>
      <family val="2"/>
    </font>
    <font>
      <vertAlign val="superscript"/>
      <sz val="6"/>
      <name val="Arial"/>
      <family val="2"/>
    </font>
    <font>
      <b/>
      <sz val="12"/>
      <color indexed="9"/>
      <name val="Arial"/>
      <family val="0"/>
    </font>
    <font>
      <sz val="10"/>
      <color indexed="9"/>
      <name val="Arial"/>
      <family val="2"/>
    </font>
    <font>
      <sz val="8"/>
      <color indexed="22"/>
      <name val="Arial"/>
      <family val="0"/>
    </font>
    <font>
      <b/>
      <i/>
      <sz val="7"/>
      <color indexed="9"/>
      <name val="Arial"/>
      <family val="2"/>
    </font>
    <font>
      <b/>
      <i/>
      <sz val="7"/>
      <name val="Arial"/>
      <family val="0"/>
    </font>
    <font>
      <b/>
      <i/>
      <sz val="9"/>
      <name val="Arial"/>
      <family val="2"/>
    </font>
    <font>
      <b/>
      <i/>
      <sz val="10"/>
      <name val="Arial"/>
      <family val="2"/>
    </font>
    <font>
      <sz val="7"/>
      <color indexed="10"/>
      <name val="Symbol"/>
      <family val="1"/>
    </font>
    <font>
      <b/>
      <i/>
      <sz val="7"/>
      <color indexed="10"/>
      <name val="Arial"/>
      <family val="2"/>
    </font>
    <font>
      <b/>
      <i/>
      <vertAlign val="superscript"/>
      <sz val="7"/>
      <color indexed="10"/>
      <name val="Arial"/>
      <family val="2"/>
    </font>
    <font>
      <b/>
      <u val="single"/>
      <sz val="10"/>
      <color indexed="12"/>
      <name val="Arial"/>
      <family val="0"/>
    </font>
    <font>
      <b/>
      <i/>
      <sz val="14"/>
      <name val="Symbol"/>
      <family val="1"/>
    </font>
    <font>
      <b/>
      <i/>
      <sz val="14"/>
      <name val="Arial"/>
      <family val="2"/>
    </font>
    <font>
      <b/>
      <sz val="14"/>
      <name val="Arial"/>
      <family val="2"/>
    </font>
    <font>
      <b/>
      <vertAlign val="superscript"/>
      <sz val="10"/>
      <color indexed="9"/>
      <name val="Arial"/>
      <family val="0"/>
    </font>
    <font>
      <b/>
      <i/>
      <vertAlign val="superscript"/>
      <sz val="10"/>
      <name val="Arial"/>
      <family val="2"/>
    </font>
    <font>
      <b/>
      <u val="single"/>
      <sz val="10"/>
      <name val="Arial"/>
      <family val="0"/>
    </font>
    <font>
      <b/>
      <i/>
      <sz val="10"/>
      <name val="Symbol"/>
      <family val="1"/>
    </font>
    <font>
      <i/>
      <u val="singleAccounting"/>
      <sz val="8"/>
      <name val="Arial"/>
      <family val="2"/>
    </font>
    <font>
      <b/>
      <sz val="10"/>
      <name val="Franklin Gothic Book"/>
      <family val="2"/>
    </font>
    <font>
      <sz val="10"/>
      <name val="Franklin Gothic Book"/>
      <family val="2"/>
    </font>
    <font>
      <b/>
      <sz val="16"/>
      <name val="Arial"/>
      <family val="2"/>
    </font>
    <font>
      <b/>
      <i/>
      <sz val="8"/>
      <color indexed="22"/>
      <name val="Symbol"/>
      <family val="1"/>
    </font>
    <font>
      <b/>
      <i/>
      <sz val="8"/>
      <color indexed="22"/>
      <name val="Arial"/>
      <family val="2"/>
    </font>
    <font>
      <b/>
      <vertAlign val="superscript"/>
      <sz val="12"/>
      <name val="Arial"/>
      <family val="2"/>
    </font>
    <font>
      <i/>
      <vertAlign val="superscript"/>
      <sz val="8"/>
      <name val="Arial"/>
      <family val="2"/>
    </font>
    <font>
      <i/>
      <vertAlign val="superscript"/>
      <sz val="5.95"/>
      <name val="Arial"/>
      <family val="2"/>
    </font>
    <font>
      <b/>
      <vertAlign val="superscript"/>
      <sz val="8"/>
      <name val="Arial"/>
      <family val="2"/>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s>
  <borders count="77">
    <border>
      <left/>
      <right/>
      <top/>
      <bottom/>
      <diagonal/>
    </border>
    <border>
      <left style="thin"/>
      <right style="thin"/>
      <top style="thin"/>
      <bottom style="thin"/>
    </border>
    <border>
      <left style="thin">
        <color indexed="10"/>
      </left>
      <right>
        <color indexed="63"/>
      </right>
      <top>
        <color indexed="63"/>
      </top>
      <bottom>
        <color indexed="63"/>
      </bottom>
    </border>
    <border>
      <left>
        <color indexed="63"/>
      </left>
      <right>
        <color indexed="63"/>
      </right>
      <top>
        <color indexed="63"/>
      </top>
      <bottom style="thin">
        <color indexed="10"/>
      </bottom>
    </border>
    <border>
      <left>
        <color indexed="63"/>
      </left>
      <right style="thin">
        <color indexed="10"/>
      </right>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color indexed="63"/>
      </left>
      <right>
        <color indexed="63"/>
      </right>
      <top style="thin">
        <color indexed="10"/>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63"/>
      </left>
      <right>
        <color indexed="63"/>
      </right>
      <top style="thin">
        <color indexed="10"/>
      </top>
      <bottom style="thin">
        <color indexed="10"/>
      </bottom>
    </border>
    <border>
      <left>
        <color indexed="63"/>
      </left>
      <right style="double"/>
      <top>
        <color indexed="63"/>
      </top>
      <bottom>
        <color indexed="63"/>
      </bottom>
    </border>
    <border>
      <left style="double"/>
      <right style="double"/>
      <top>
        <color indexed="63"/>
      </top>
      <bottom>
        <color indexed="63"/>
      </bottom>
    </border>
    <border>
      <left style="double"/>
      <right style="double"/>
      <top style="double"/>
      <bottom>
        <color indexed="63"/>
      </bottom>
    </border>
    <border>
      <left>
        <color indexed="63"/>
      </left>
      <right style="thin"/>
      <top style="thin"/>
      <bottom style="thin"/>
    </border>
    <border>
      <left style="double"/>
      <right>
        <color indexed="63"/>
      </right>
      <top>
        <color indexed="63"/>
      </top>
      <bottom style="thin"/>
    </border>
    <border>
      <left style="thin"/>
      <right style="double"/>
      <top style="thin"/>
      <bottom style="thin"/>
    </border>
    <border>
      <left>
        <color indexed="63"/>
      </left>
      <right style="double"/>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double"/>
      <top>
        <color indexed="63"/>
      </top>
      <bottom style="thin"/>
    </border>
    <border>
      <left>
        <color indexed="63"/>
      </left>
      <right style="thin"/>
      <top>
        <color indexed="63"/>
      </top>
      <bottom style="thin"/>
    </border>
    <border>
      <left style="double"/>
      <right style="double"/>
      <top>
        <color indexed="63"/>
      </top>
      <bottom style="thin"/>
    </border>
    <border>
      <left style="double"/>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thin"/>
      <right style="double"/>
      <top style="thin"/>
      <bottom>
        <color indexed="63"/>
      </bottom>
    </border>
    <border>
      <left style="double"/>
      <right style="double"/>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color indexed="10"/>
      </top>
      <bottom style="medium">
        <color indexed="10"/>
      </bottom>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style="double"/>
      <right style="double"/>
      <top style="thin"/>
      <bottom style="thin"/>
    </border>
    <border>
      <left>
        <color indexed="63"/>
      </left>
      <right>
        <color indexed="63"/>
      </right>
      <top>
        <color indexed="63"/>
      </top>
      <bottom style="thin">
        <color indexed="22"/>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style="thin">
        <color indexed="22"/>
      </bottom>
    </border>
    <border>
      <left style="thin">
        <color indexed="10"/>
      </left>
      <right>
        <color indexed="63"/>
      </right>
      <top style="medium">
        <color indexed="10"/>
      </top>
      <bottom style="medium">
        <color indexed="10"/>
      </bottom>
    </border>
    <border>
      <left>
        <color indexed="63"/>
      </left>
      <right style="thin">
        <color indexed="10"/>
      </right>
      <top style="medium">
        <color indexed="10"/>
      </top>
      <bottom style="medium">
        <color indexed="10"/>
      </bottom>
    </border>
    <border>
      <left style="thin">
        <color indexed="10"/>
      </left>
      <right>
        <color indexed="63"/>
      </right>
      <top style="thin"/>
      <bottom style="thin"/>
    </border>
    <border>
      <left>
        <color indexed="63"/>
      </left>
      <right style="thin">
        <color indexed="10"/>
      </right>
      <top style="thin"/>
      <bottom style="thin"/>
    </border>
    <border>
      <left style="thin">
        <color indexed="10"/>
      </left>
      <right>
        <color indexed="63"/>
      </right>
      <top style="thick">
        <color indexed="10"/>
      </top>
      <bottom>
        <color indexed="63"/>
      </bottom>
    </border>
    <border>
      <left>
        <color indexed="63"/>
      </left>
      <right style="thin">
        <color indexed="10"/>
      </right>
      <top style="thick">
        <color indexed="10"/>
      </top>
      <bottom>
        <color indexed="63"/>
      </bottom>
    </border>
    <border>
      <left style="thin">
        <color indexed="10"/>
      </left>
      <right>
        <color indexed="63"/>
      </right>
      <top>
        <color indexed="63"/>
      </top>
      <bottom style="medium">
        <color indexed="10"/>
      </bottom>
    </border>
    <border>
      <left>
        <color indexed="63"/>
      </left>
      <right style="double"/>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double"/>
      <bottom>
        <color indexed="63"/>
      </bottom>
    </border>
    <border>
      <left style="thin"/>
      <right>
        <color indexed="63"/>
      </right>
      <top style="thin"/>
      <bottom style="thin"/>
    </border>
    <border>
      <left style="double"/>
      <right>
        <color indexed="63"/>
      </right>
      <top style="double"/>
      <bottom>
        <color indexed="63"/>
      </bottom>
    </border>
    <border>
      <left style="double"/>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1">
      <alignment horizontal="left" wrapText="1"/>
      <protection/>
    </xf>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4">
    <xf numFmtId="0" fontId="0" fillId="0" borderId="0" xfId="0" applyAlignment="1">
      <alignment/>
    </xf>
    <xf numFmtId="0" fontId="0" fillId="0" borderId="0" xfId="0"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Alignment="1" applyProtection="1">
      <alignment/>
      <protection locked="0"/>
    </xf>
    <xf numFmtId="0" fontId="0" fillId="0" borderId="0" xfId="0" applyFill="1" applyAlignment="1" applyProtection="1">
      <alignment/>
      <protection locked="0"/>
    </xf>
    <xf numFmtId="0" fontId="5" fillId="0" borderId="0" xfId="0" applyFont="1" applyAlignment="1" applyProtection="1">
      <alignment horizontal="center"/>
      <protection locked="0"/>
    </xf>
    <xf numFmtId="0" fontId="10" fillId="0" borderId="0" xfId="0" applyFont="1" applyBorder="1" applyAlignment="1" applyProtection="1">
      <alignment horizontal="left"/>
      <protection/>
    </xf>
    <xf numFmtId="0" fontId="10"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2" borderId="2" xfId="0" applyFill="1" applyBorder="1" applyAlignment="1" applyProtection="1">
      <alignment/>
      <protection/>
    </xf>
    <xf numFmtId="0" fontId="13" fillId="0" borderId="3" xfId="0" applyFont="1" applyBorder="1" applyAlignment="1" applyProtection="1">
      <alignment vertical="center"/>
      <protection/>
    </xf>
    <xf numFmtId="0" fontId="6" fillId="3" borderId="3" xfId="0" applyFont="1" applyFill="1" applyBorder="1" applyAlignment="1" applyProtection="1">
      <alignment horizontal="center" vertical="center"/>
      <protection/>
    </xf>
    <xf numFmtId="0" fontId="6" fillId="4" borderId="3" xfId="0" applyFont="1" applyFill="1" applyBorder="1" applyAlignment="1" applyProtection="1">
      <alignment horizontal="center" vertical="center"/>
      <protection/>
    </xf>
    <xf numFmtId="0" fontId="26" fillId="0" borderId="3" xfId="0" applyFont="1" applyFill="1" applyBorder="1" applyAlignment="1" applyProtection="1">
      <alignment horizontal="center" vertical="center"/>
      <protection/>
    </xf>
    <xf numFmtId="0" fontId="6" fillId="3"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31" fillId="0" borderId="3" xfId="0" applyFont="1" applyFill="1" applyBorder="1" applyAlignment="1" applyProtection="1">
      <alignment horizontal="center" vertical="center"/>
      <protection/>
    </xf>
    <xf numFmtId="0" fontId="0" fillId="2" borderId="4" xfId="0" applyFill="1" applyBorder="1" applyAlignment="1" applyProtection="1">
      <alignment/>
      <protection/>
    </xf>
    <xf numFmtId="0" fontId="32" fillId="0" borderId="3" xfId="0" applyFont="1" applyFill="1" applyBorder="1" applyAlignment="1" applyProtection="1">
      <alignment horizontal="center" vertical="center"/>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0" fontId="10"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14" fillId="0" borderId="5" xfId="0" applyFont="1" applyBorder="1" applyAlignment="1" applyProtection="1">
      <alignment horizontal="center"/>
      <protection/>
    </xf>
    <xf numFmtId="0" fontId="23" fillId="0" borderId="6" xfId="0" applyFont="1" applyBorder="1" applyAlignment="1" applyProtection="1">
      <alignment/>
      <protection/>
    </xf>
    <xf numFmtId="0" fontId="6" fillId="0" borderId="3" xfId="0" applyFont="1" applyFill="1" applyBorder="1" applyAlignment="1" applyProtection="1">
      <alignment horizontal="center" vertical="center"/>
      <protection/>
    </xf>
    <xf numFmtId="0" fontId="0" fillId="0" borderId="4" xfId="0" applyBorder="1" applyAlignment="1" applyProtection="1">
      <alignment/>
      <protection/>
    </xf>
    <xf numFmtId="0" fontId="27" fillId="0" borderId="0" xfId="0" applyFont="1" applyFill="1" applyAlignment="1" applyProtection="1">
      <alignment/>
      <protection locked="0"/>
    </xf>
    <xf numFmtId="0" fontId="11" fillId="0" borderId="3" xfId="0" applyFont="1" applyBorder="1" applyAlignment="1" applyProtection="1">
      <alignment vertical="center"/>
      <protection/>
    </xf>
    <xf numFmtId="0" fontId="11" fillId="0" borderId="0" xfId="0" applyFont="1" applyBorder="1" applyAlignment="1" applyProtection="1">
      <alignment vertical="center"/>
      <protection/>
    </xf>
    <xf numFmtId="0" fontId="2" fillId="0" borderId="0" xfId="0" applyFont="1" applyBorder="1" applyAlignment="1" applyProtection="1">
      <alignment horizontal="left" indent="1"/>
      <protection/>
    </xf>
    <xf numFmtId="0" fontId="0" fillId="0" borderId="0" xfId="0" applyAlignment="1" applyProtection="1">
      <alignment/>
      <protection/>
    </xf>
    <xf numFmtId="0" fontId="46" fillId="0" borderId="3" xfId="0" applyFont="1" applyBorder="1" applyAlignment="1" applyProtection="1">
      <alignment vertical="center"/>
      <protection/>
    </xf>
    <xf numFmtId="0" fontId="10" fillId="0" borderId="3" xfId="0" applyFont="1" applyFill="1" applyBorder="1" applyAlignment="1" applyProtection="1">
      <alignment/>
      <protection/>
    </xf>
    <xf numFmtId="0" fontId="2" fillId="0" borderId="7" xfId="0" applyFont="1" applyFill="1" applyBorder="1" applyAlignment="1" applyProtection="1">
      <alignment/>
      <protection/>
    </xf>
    <xf numFmtId="0" fontId="14" fillId="0" borderId="3" xfId="0" applyFont="1" applyFill="1" applyBorder="1" applyAlignment="1" applyProtection="1">
      <alignment/>
      <protection/>
    </xf>
    <xf numFmtId="0" fontId="13" fillId="0" borderId="0" xfId="16" applyFont="1" applyBorder="1" applyAlignment="1" applyProtection="1">
      <alignment horizontal="left"/>
      <protection/>
    </xf>
    <xf numFmtId="165" fontId="10" fillId="0" borderId="0" xfId="22" applyNumberFormat="1" applyFont="1" applyBorder="1" applyAlignment="1" applyProtection="1">
      <alignment/>
      <protection/>
    </xf>
    <xf numFmtId="165" fontId="10" fillId="0" borderId="0" xfId="22" applyNumberFormat="1" applyFont="1" applyFill="1" applyBorder="1" applyAlignment="1" applyProtection="1">
      <alignment/>
      <protection/>
    </xf>
    <xf numFmtId="0" fontId="4" fillId="0" borderId="0" xfId="0" applyFont="1" applyFill="1" applyBorder="1" applyAlignment="1" applyProtection="1">
      <alignment/>
      <protection/>
    </xf>
    <xf numFmtId="167" fontId="45" fillId="0" borderId="0" xfId="0" applyNumberFormat="1" applyFont="1" applyFill="1" applyBorder="1" applyAlignment="1" applyProtection="1">
      <alignment/>
      <protection/>
    </xf>
    <xf numFmtId="0" fontId="13" fillId="0" borderId="0" xfId="16" applyFont="1" applyBorder="1" applyAlignment="1" applyProtection="1">
      <alignment/>
      <protection/>
    </xf>
    <xf numFmtId="0" fontId="13" fillId="0" borderId="3" xfId="16" applyFont="1" applyBorder="1" applyAlignment="1" applyProtection="1">
      <alignment horizontal="left"/>
      <protection/>
    </xf>
    <xf numFmtId="165" fontId="10" fillId="0" borderId="3" xfId="22" applyNumberFormat="1" applyFont="1" applyFill="1" applyBorder="1" applyAlignment="1" applyProtection="1">
      <alignment/>
      <protection/>
    </xf>
    <xf numFmtId="0" fontId="4" fillId="0" borderId="3" xfId="0" applyFont="1" applyFill="1" applyBorder="1" applyAlignment="1" applyProtection="1">
      <alignment/>
      <protection/>
    </xf>
    <xf numFmtId="165" fontId="10" fillId="0" borderId="3" xfId="22" applyNumberFormat="1" applyFont="1" applyBorder="1" applyAlignment="1" applyProtection="1">
      <alignment/>
      <protection/>
    </xf>
    <xf numFmtId="0" fontId="6" fillId="4" borderId="0"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2" fillId="0" borderId="7" xfId="0" applyFont="1" applyBorder="1" applyAlignment="1" applyProtection="1">
      <alignment/>
      <protection/>
    </xf>
    <xf numFmtId="0" fontId="10" fillId="0" borderId="0" xfId="0" applyFont="1" applyFill="1" applyBorder="1" applyAlignment="1" applyProtection="1">
      <alignment/>
      <protection/>
    </xf>
    <xf numFmtId="0" fontId="14" fillId="0" borderId="3" xfId="0" applyFont="1" applyFill="1" applyBorder="1" applyAlignment="1" applyProtection="1">
      <alignment/>
      <protection/>
    </xf>
    <xf numFmtId="0" fontId="10" fillId="0" borderId="3" xfId="0" applyFont="1" applyFill="1" applyBorder="1" applyAlignment="1" applyProtection="1">
      <alignment/>
      <protection/>
    </xf>
    <xf numFmtId="0" fontId="11" fillId="0" borderId="3"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3" xfId="0" applyBorder="1" applyAlignment="1" applyProtection="1">
      <alignment/>
      <protection/>
    </xf>
    <xf numFmtId="0" fontId="11" fillId="0" borderId="0" xfId="0" applyFont="1" applyBorder="1" applyAlignment="1" applyProtection="1">
      <alignment/>
      <protection/>
    </xf>
    <xf numFmtId="0" fontId="13" fillId="0" borderId="0" xfId="0" applyFont="1" applyFill="1" applyBorder="1" applyAlignment="1" applyProtection="1">
      <alignment vertical="center"/>
      <protection/>
    </xf>
    <xf numFmtId="0" fontId="4" fillId="0" borderId="0" xfId="0" applyFont="1" applyBorder="1" applyAlignment="1" applyProtection="1">
      <alignment horizontal="left" indent="1"/>
      <protection/>
    </xf>
    <xf numFmtId="0" fontId="4" fillId="0" borderId="0" xfId="0" applyFont="1" applyFill="1" applyBorder="1" applyAlignment="1" applyProtection="1">
      <alignment horizontal="left" indent="1"/>
      <protection/>
    </xf>
    <xf numFmtId="0" fontId="10" fillId="0" borderId="0" xfId="0" applyFont="1" applyFill="1" applyBorder="1" applyAlignment="1" applyProtection="1">
      <alignment/>
      <protection/>
    </xf>
    <xf numFmtId="0" fontId="0" fillId="0" borderId="0" xfId="0" applyFont="1" applyFill="1" applyBorder="1" applyAlignment="1" applyProtection="1">
      <alignment/>
      <protection/>
    </xf>
    <xf numFmtId="0" fontId="38" fillId="0" borderId="0" xfId="0" applyFont="1" applyFill="1" applyBorder="1" applyAlignment="1" applyProtection="1">
      <alignment horizontal="left"/>
      <protection/>
    </xf>
    <xf numFmtId="0" fontId="48" fillId="0" borderId="3" xfId="0" applyFont="1" applyFill="1" applyBorder="1" applyAlignment="1" applyProtection="1">
      <alignment horizontal="center" vertical="center" wrapText="1"/>
      <protection/>
    </xf>
    <xf numFmtId="170" fontId="43" fillId="0" borderId="0" xfId="0" applyNumberFormat="1" applyFont="1" applyBorder="1" applyAlignment="1" applyProtection="1">
      <alignment horizontal="center"/>
      <protection locked="0"/>
    </xf>
    <xf numFmtId="0" fontId="0" fillId="0" borderId="0" xfId="0" applyAlignment="1" applyProtection="1">
      <alignment horizontal="center"/>
      <protection locked="0"/>
    </xf>
    <xf numFmtId="0" fontId="0" fillId="2" borderId="0" xfId="0" applyFill="1" applyBorder="1" applyAlignment="1" applyProtection="1">
      <alignment/>
      <protection locked="0"/>
    </xf>
    <xf numFmtId="0" fontId="39" fillId="0" borderId="0"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protection/>
    </xf>
    <xf numFmtId="0" fontId="28" fillId="0" borderId="3" xfId="0" applyFont="1" applyFill="1" applyBorder="1" applyAlignment="1" applyProtection="1">
      <alignment horizontal="center" vertical="center"/>
      <protection/>
    </xf>
    <xf numFmtId="41" fontId="2" fillId="0" borderId="3" xfId="0" applyNumberFormat="1" applyFont="1" applyBorder="1" applyAlignment="1" applyProtection="1">
      <alignment horizontal="center"/>
      <protection/>
    </xf>
    <xf numFmtId="0" fontId="26" fillId="0" borderId="3" xfId="0" applyFont="1" applyFill="1" applyBorder="1" applyAlignment="1" applyProtection="1">
      <alignment horizontal="center" vertical="center"/>
      <protection/>
    </xf>
    <xf numFmtId="0" fontId="22" fillId="0" borderId="3" xfId="0" applyFont="1" applyFill="1" applyBorder="1" applyAlignment="1" applyProtection="1">
      <alignment horizontal="center" vertical="center"/>
      <protection/>
    </xf>
    <xf numFmtId="0" fontId="0" fillId="0" borderId="0" xfId="0"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Border="1" applyAlignment="1" applyProtection="1">
      <alignment horizontal="center"/>
      <protection/>
    </xf>
    <xf numFmtId="0" fontId="1" fillId="0" borderId="0" xfId="0" applyFont="1" applyAlignment="1" applyProtection="1">
      <alignment/>
      <protection locked="0"/>
    </xf>
    <xf numFmtId="0" fontId="11" fillId="0" borderId="3" xfId="0" applyFont="1" applyBorder="1" applyAlignment="1" applyProtection="1">
      <alignment/>
      <protection/>
    </xf>
    <xf numFmtId="0" fontId="10" fillId="0" borderId="0" xfId="0" applyFont="1" applyBorder="1" applyAlignment="1" applyProtection="1">
      <alignment horizontal="left" indent="1"/>
      <protection/>
    </xf>
    <xf numFmtId="0" fontId="2" fillId="0" borderId="0" xfId="0" applyFont="1" applyBorder="1" applyAlignment="1" applyProtection="1">
      <alignment horizontal="left" indent="2"/>
      <protection/>
    </xf>
    <xf numFmtId="0" fontId="4" fillId="0" borderId="0" xfId="0" applyFont="1" applyBorder="1" applyAlignment="1" applyProtection="1">
      <alignment horizontal="left" indent="3"/>
      <protection/>
    </xf>
    <xf numFmtId="0" fontId="3" fillId="2" borderId="0" xfId="0" applyFont="1" applyFill="1" applyAlignment="1" applyProtection="1">
      <alignment vertical="center"/>
      <protection locked="0"/>
    </xf>
    <xf numFmtId="0" fontId="0" fillId="0" borderId="0" xfId="21" applyFont="1" applyAlignment="1" applyProtection="1">
      <alignment vertical="center"/>
      <protection locked="0"/>
    </xf>
    <xf numFmtId="0" fontId="18" fillId="0" borderId="0" xfId="21" applyFont="1" applyBorder="1" applyAlignment="1" applyProtection="1">
      <alignment vertical="center"/>
      <protection locked="0"/>
    </xf>
    <xf numFmtId="0" fontId="20" fillId="0" borderId="0" xfId="21" applyFont="1" applyAlignment="1" applyProtection="1">
      <alignment vertical="center"/>
      <protection locked="0"/>
    </xf>
    <xf numFmtId="0" fontId="0" fillId="0" borderId="0" xfId="21" applyFont="1" applyFill="1" applyBorder="1" applyAlignment="1" applyProtection="1">
      <alignment vertical="center"/>
      <protection locked="0"/>
    </xf>
    <xf numFmtId="0" fontId="0" fillId="0" borderId="0" xfId="21" applyFont="1" applyAlignment="1" applyProtection="1">
      <alignment vertical="center"/>
      <protection locked="0"/>
    </xf>
    <xf numFmtId="0" fontId="0" fillId="0" borderId="4" xfId="21" applyFont="1" applyBorder="1" applyAlignment="1" applyProtection="1">
      <alignment vertical="center"/>
      <protection locked="0"/>
    </xf>
    <xf numFmtId="0" fontId="0" fillId="0" borderId="0" xfId="21" applyFont="1" applyBorder="1" applyAlignment="1" applyProtection="1">
      <alignment vertical="center"/>
      <protection locked="0"/>
    </xf>
    <xf numFmtId="0" fontId="0" fillId="0" borderId="0" xfId="21" applyFont="1" applyBorder="1" applyAlignment="1" applyProtection="1">
      <alignment vertical="center"/>
      <protection locked="0"/>
    </xf>
    <xf numFmtId="0" fontId="0" fillId="0" borderId="0" xfId="21" applyFont="1" applyFill="1" applyAlignment="1" applyProtection="1">
      <alignment vertical="center"/>
      <protection locked="0"/>
    </xf>
    <xf numFmtId="0" fontId="0" fillId="0" borderId="0" xfId="21" applyFont="1" applyFill="1" applyAlignment="1" applyProtection="1">
      <alignment vertical="center"/>
      <protection locked="0"/>
    </xf>
    <xf numFmtId="0" fontId="18" fillId="0" borderId="2" xfId="21" applyFont="1" applyBorder="1" applyAlignment="1" applyProtection="1">
      <alignment vertical="center"/>
      <protection/>
    </xf>
    <xf numFmtId="0" fontId="18" fillId="0" borderId="4" xfId="21" applyFont="1" applyBorder="1" applyAlignment="1" applyProtection="1">
      <alignment vertical="center"/>
      <protection/>
    </xf>
    <xf numFmtId="0" fontId="0" fillId="0" borderId="0" xfId="21" applyFont="1" applyFill="1" applyBorder="1" applyAlignment="1" applyProtection="1">
      <alignment vertical="center"/>
      <protection/>
    </xf>
    <xf numFmtId="0" fontId="21" fillId="0" borderId="0" xfId="21" applyFont="1" applyBorder="1" applyAlignment="1" applyProtection="1">
      <alignment vertical="center"/>
      <protection/>
    </xf>
    <xf numFmtId="0" fontId="21" fillId="0" borderId="3" xfId="21" applyFont="1" applyBorder="1" applyAlignment="1" applyProtection="1">
      <alignment vertical="center"/>
      <protection/>
    </xf>
    <xf numFmtId="0" fontId="0" fillId="0" borderId="0" xfId="21" applyFont="1" applyBorder="1" applyAlignment="1" applyProtection="1">
      <alignment vertical="center"/>
      <protection/>
    </xf>
    <xf numFmtId="164" fontId="0" fillId="0" borderId="0" xfId="21" applyNumberFormat="1" applyFont="1" applyFill="1" applyBorder="1" applyAlignment="1" applyProtection="1">
      <alignment vertical="center"/>
      <protection/>
    </xf>
    <xf numFmtId="0" fontId="0" fillId="0" borderId="3" xfId="21" applyFont="1" applyBorder="1" applyAlignment="1" applyProtection="1">
      <alignment vertical="center"/>
      <protection/>
    </xf>
    <xf numFmtId="164" fontId="0" fillId="0" borderId="3" xfId="21" applyNumberFormat="1" applyFont="1" applyFill="1" applyBorder="1" applyAlignment="1" applyProtection="1">
      <alignment vertical="center"/>
      <protection/>
    </xf>
    <xf numFmtId="0" fontId="20" fillId="0" borderId="0" xfId="21" applyFont="1" applyFill="1" applyBorder="1" applyAlignment="1" applyProtection="1">
      <alignment vertical="center"/>
      <protection/>
    </xf>
    <xf numFmtId="164" fontId="20" fillId="0" borderId="0" xfId="21" applyNumberFormat="1" applyFont="1" applyFill="1" applyBorder="1" applyAlignment="1" applyProtection="1">
      <alignment vertical="center"/>
      <protection/>
    </xf>
    <xf numFmtId="0" fontId="0" fillId="0" borderId="0" xfId="21" applyFont="1" applyFill="1" applyBorder="1" applyAlignment="1" applyProtection="1">
      <alignment vertical="center"/>
      <protection/>
    </xf>
    <xf numFmtId="0" fontId="1" fillId="0" borderId="0" xfId="21" applyNumberFormat="1" applyFont="1" applyFill="1" applyBorder="1" applyAlignment="1" applyProtection="1">
      <alignment horizontal="center" vertical="center" wrapText="1"/>
      <protection/>
    </xf>
    <xf numFmtId="0" fontId="0" fillId="0" borderId="0" xfId="21" applyFont="1" applyBorder="1" applyAlignment="1" applyProtection="1">
      <alignment vertical="center"/>
      <protection/>
    </xf>
    <xf numFmtId="0" fontId="0" fillId="0" borderId="3" xfId="21" applyFont="1" applyBorder="1" applyAlignment="1" applyProtection="1">
      <alignment vertical="center"/>
      <protection/>
    </xf>
    <xf numFmtId="0" fontId="0" fillId="0" borderId="3" xfId="21" applyFont="1" applyFill="1" applyBorder="1" applyAlignment="1" applyProtection="1">
      <alignment vertical="center"/>
      <protection/>
    </xf>
    <xf numFmtId="0" fontId="3" fillId="2" borderId="2"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3" fillId="0" borderId="0" xfId="0" applyFont="1" applyBorder="1" applyAlignment="1" applyProtection="1">
      <alignment horizontal="center"/>
      <protection/>
    </xf>
    <xf numFmtId="10" fontId="3" fillId="0" borderId="3" xfId="22"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10" fontId="3" fillId="0" borderId="0" xfId="22" applyNumberFormat="1" applyFont="1" applyFill="1" applyBorder="1" applyAlignment="1" applyProtection="1">
      <alignment horizontal="center" vertical="center"/>
      <protection/>
    </xf>
    <xf numFmtId="0" fontId="0" fillId="0" borderId="0" xfId="21" applyFont="1" applyAlignment="1" applyProtection="1">
      <alignment vertical="center"/>
      <protection/>
    </xf>
    <xf numFmtId="14" fontId="1" fillId="0" borderId="0" xfId="21" applyNumberFormat="1" applyFont="1" applyFill="1" applyBorder="1" applyAlignment="1" applyProtection="1">
      <alignment horizontal="center" vertical="center"/>
      <protection/>
    </xf>
    <xf numFmtId="14" fontId="0" fillId="0" borderId="0" xfId="21" applyNumberFormat="1" applyFont="1" applyFill="1" applyBorder="1" applyAlignment="1" applyProtection="1">
      <alignment horizontal="center" vertical="center"/>
      <protection/>
    </xf>
    <xf numFmtId="172" fontId="2" fillId="0" borderId="0" xfId="19" applyNumberFormat="1" applyFont="1" applyFill="1" applyBorder="1" applyAlignment="1" applyProtection="1">
      <alignment horizontal="right"/>
      <protection/>
    </xf>
    <xf numFmtId="172" fontId="10" fillId="0" borderId="0" xfId="19" applyNumberFormat="1" applyFont="1" applyFill="1" applyBorder="1" applyAlignment="1" applyProtection="1">
      <alignment horizontal="right"/>
      <protection/>
    </xf>
    <xf numFmtId="172" fontId="10" fillId="0" borderId="0" xfId="19" applyNumberFormat="1" applyFont="1" applyFill="1" applyBorder="1" applyAlignment="1" applyProtection="1">
      <alignment horizontal="right" wrapText="1"/>
      <protection/>
    </xf>
    <xf numFmtId="165" fontId="2" fillId="0" borderId="0" xfId="22" applyNumberFormat="1" applyFont="1" applyFill="1" applyBorder="1" applyAlignment="1" applyProtection="1">
      <alignment/>
      <protection/>
    </xf>
    <xf numFmtId="0" fontId="2" fillId="0" borderId="0" xfId="19" applyNumberFormat="1" applyFont="1" applyFill="1" applyBorder="1" applyAlignment="1" applyProtection="1">
      <alignment horizontal="right"/>
      <protection/>
    </xf>
    <xf numFmtId="0" fontId="30" fillId="0" borderId="0" xfId="0" applyFont="1" applyFill="1" applyBorder="1" applyAlignment="1" applyProtection="1">
      <alignment/>
      <protection/>
    </xf>
    <xf numFmtId="0" fontId="42" fillId="0" borderId="0" xfId="0" applyFont="1" applyFill="1" applyBorder="1" applyAlignment="1" applyProtection="1">
      <alignment/>
      <protection/>
    </xf>
    <xf numFmtId="0" fontId="30"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0" fillId="0" borderId="2"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0" xfId="0" applyFill="1" applyAlignment="1" applyProtection="1">
      <alignment/>
      <protection/>
    </xf>
    <xf numFmtId="165" fontId="2" fillId="0" borderId="0" xfId="22" applyNumberFormat="1" applyFont="1" applyFill="1" applyBorder="1" applyAlignment="1" applyProtection="1">
      <alignment horizontal="center"/>
      <protection/>
    </xf>
    <xf numFmtId="0" fontId="2" fillId="0" borderId="6" xfId="16" applyFont="1" applyBorder="1" applyAlignment="1" applyProtection="1">
      <alignment/>
      <protection/>
    </xf>
    <xf numFmtId="0" fontId="1" fillId="0" borderId="0" xfId="0" applyFont="1" applyAlignment="1" applyProtection="1">
      <alignment/>
      <protection/>
    </xf>
    <xf numFmtId="0" fontId="0" fillId="2" borderId="0" xfId="0" applyFill="1" applyAlignment="1" applyProtection="1">
      <alignment/>
      <protection/>
    </xf>
    <xf numFmtId="0" fontId="2" fillId="0" borderId="10" xfId="0" applyFont="1" applyBorder="1" applyAlignment="1" applyProtection="1">
      <alignment/>
      <protection/>
    </xf>
    <xf numFmtId="0" fontId="0" fillId="0" borderId="7" xfId="0" applyBorder="1" applyAlignment="1" applyProtection="1">
      <alignment/>
      <protection/>
    </xf>
    <xf numFmtId="0" fontId="0" fillId="2" borderId="11" xfId="0" applyFill="1" applyBorder="1" applyAlignment="1" applyProtection="1">
      <alignment/>
      <protection/>
    </xf>
    <xf numFmtId="0" fontId="1" fillId="0" borderId="2" xfId="0" applyFont="1" applyBorder="1" applyAlignment="1" applyProtection="1">
      <alignment/>
      <protection/>
    </xf>
    <xf numFmtId="0" fontId="2" fillId="0" borderId="2" xfId="0" applyFont="1" applyBorder="1" applyAlignment="1" applyProtection="1">
      <alignment/>
      <protection/>
    </xf>
    <xf numFmtId="0" fontId="2" fillId="0" borderId="2" xfId="0" applyFont="1" applyBorder="1" applyAlignment="1" applyProtection="1">
      <alignment horizontal="left" indent="1"/>
      <protection/>
    </xf>
    <xf numFmtId="0" fontId="0" fillId="0" borderId="0" xfId="0" applyFill="1" applyBorder="1" applyAlignment="1" applyProtection="1">
      <alignment/>
      <protection/>
    </xf>
    <xf numFmtId="0" fontId="0" fillId="0" borderId="2" xfId="0" applyFont="1" applyBorder="1" applyAlignment="1" applyProtection="1">
      <alignment/>
      <protection/>
    </xf>
    <xf numFmtId="0" fontId="0" fillId="0" borderId="2" xfId="0" applyFont="1" applyBorder="1" applyAlignment="1" applyProtection="1">
      <alignment/>
      <protection/>
    </xf>
    <xf numFmtId="0" fontId="3" fillId="2" borderId="0" xfId="0" applyFont="1" applyFill="1" applyBorder="1" applyAlignment="1" applyProtection="1">
      <alignment vertical="center"/>
      <protection/>
    </xf>
    <xf numFmtId="0" fontId="0" fillId="2" borderId="0" xfId="0" applyFill="1" applyBorder="1" applyAlignment="1" applyProtection="1">
      <alignment/>
      <protection/>
    </xf>
    <xf numFmtId="0" fontId="1" fillId="0" borderId="2" xfId="0" applyFont="1" applyBorder="1" applyAlignment="1" applyProtection="1">
      <alignment/>
      <protection/>
    </xf>
    <xf numFmtId="0" fontId="4" fillId="0" borderId="2" xfId="0" applyFont="1" applyBorder="1" applyAlignment="1" applyProtection="1">
      <alignment/>
      <protection/>
    </xf>
    <xf numFmtId="0" fontId="13" fillId="0" borderId="2" xfId="0" applyFont="1" applyBorder="1" applyAlignment="1" applyProtection="1">
      <alignment/>
      <protection/>
    </xf>
    <xf numFmtId="0" fontId="13" fillId="0" borderId="4" xfId="0" applyFont="1" applyBorder="1" applyAlignment="1" applyProtection="1">
      <alignment/>
      <protection/>
    </xf>
    <xf numFmtId="0" fontId="13" fillId="0" borderId="2" xfId="0" applyFont="1" applyBorder="1" applyAlignment="1" applyProtection="1">
      <alignment horizontal="left" indent="1"/>
      <protection/>
    </xf>
    <xf numFmtId="0" fontId="2" fillId="0" borderId="0" xfId="16" applyFont="1" applyBorder="1" applyAlignment="1" applyProtection="1">
      <alignment/>
      <protection/>
    </xf>
    <xf numFmtId="0" fontId="33" fillId="2" borderId="0" xfId="0" applyFont="1" applyFill="1" applyBorder="1" applyAlignment="1" applyProtection="1">
      <alignment/>
      <protection/>
    </xf>
    <xf numFmtId="0" fontId="25" fillId="0" borderId="2" xfId="0" applyFont="1" applyBorder="1" applyAlignment="1" applyProtection="1">
      <alignment horizontal="left"/>
      <protection/>
    </xf>
    <xf numFmtId="0" fontId="34" fillId="0" borderId="2" xfId="16" applyFont="1" applyBorder="1" applyAlignment="1" applyProtection="1">
      <alignment/>
      <protection/>
    </xf>
    <xf numFmtId="0" fontId="2" fillId="0" borderId="12" xfId="16" applyFont="1" applyBorder="1" applyAlignment="1" applyProtection="1">
      <alignment/>
      <protection/>
    </xf>
    <xf numFmtId="0" fontId="0" fillId="0" borderId="0" xfId="0" applyFont="1" applyBorder="1" applyAlignment="1" applyProtection="1">
      <alignment/>
      <protection/>
    </xf>
    <xf numFmtId="0" fontId="34" fillId="0" borderId="8" xfId="16" applyFont="1" applyBorder="1" applyAlignment="1" applyProtection="1">
      <alignment horizontal="left"/>
      <protection/>
    </xf>
    <xf numFmtId="0" fontId="35" fillId="0" borderId="9" xfId="0" applyFont="1" applyBorder="1" applyAlignment="1" applyProtection="1">
      <alignment/>
      <protection/>
    </xf>
    <xf numFmtId="0" fontId="0" fillId="2" borderId="3" xfId="0" applyFill="1" applyBorder="1" applyAlignment="1" applyProtection="1">
      <alignment/>
      <protection/>
    </xf>
    <xf numFmtId="0" fontId="0" fillId="2" borderId="9" xfId="0" applyFill="1" applyBorder="1" applyAlignment="1" applyProtection="1">
      <alignment/>
      <protection/>
    </xf>
    <xf numFmtId="0" fontId="2" fillId="0" borderId="0" xfId="0" applyFont="1" applyAlignment="1" applyProtection="1">
      <alignment/>
      <protection/>
    </xf>
    <xf numFmtId="3" fontId="2" fillId="0" borderId="0" xfId="19" applyNumberFormat="1" applyFont="1" applyBorder="1" applyAlignment="1" applyProtection="1">
      <alignment horizontal="center"/>
      <protection/>
    </xf>
    <xf numFmtId="3" fontId="2" fillId="0" borderId="0" xfId="19" applyNumberFormat="1" applyFont="1" applyFill="1" applyBorder="1" applyAlignment="1" applyProtection="1">
      <alignment horizontal="center"/>
      <protection/>
    </xf>
    <xf numFmtId="3" fontId="2" fillId="0" borderId="0" xfId="0" applyNumberFormat="1" applyFont="1" applyBorder="1" applyAlignment="1" applyProtection="1">
      <alignment horizontal="center"/>
      <protection/>
    </xf>
    <xf numFmtId="165" fontId="2" fillId="0" borderId="0" xfId="22" applyNumberFormat="1" applyFont="1" applyBorder="1" applyAlignment="1" applyProtection="1">
      <alignment horizontal="center"/>
      <protection/>
    </xf>
    <xf numFmtId="165" fontId="10" fillId="0" borderId="0" xfId="22" applyNumberFormat="1" applyFont="1" applyBorder="1" applyAlignment="1" applyProtection="1">
      <alignment horizontal="center"/>
      <protection/>
    </xf>
    <xf numFmtId="165" fontId="10" fillId="0" borderId="0" xfId="22" applyNumberFormat="1" applyFont="1" applyFill="1" applyBorder="1" applyAlignment="1" applyProtection="1">
      <alignment horizontal="center"/>
      <protection/>
    </xf>
    <xf numFmtId="165" fontId="2" fillId="0" borderId="0" xfId="22" applyNumberFormat="1" applyFont="1" applyFill="1" applyBorder="1" applyAlignment="1" applyProtection="1">
      <alignment horizontal="center"/>
      <protection/>
    </xf>
    <xf numFmtId="165" fontId="10" fillId="0" borderId="0" xfId="22" applyNumberFormat="1" applyFont="1" applyFill="1" applyBorder="1" applyAlignment="1" applyProtection="1">
      <alignment horizontal="center"/>
      <protection/>
    </xf>
    <xf numFmtId="165" fontId="10" fillId="0" borderId="0" xfId="22" applyNumberFormat="1" applyFont="1" applyAlignment="1" applyProtection="1">
      <alignment horizontal="center"/>
      <protection/>
    </xf>
    <xf numFmtId="0" fontId="8" fillId="0" borderId="0" xfId="16" applyFill="1" applyBorder="1" applyAlignment="1" applyProtection="1">
      <alignment horizontal="center" vertical="center"/>
      <protection/>
    </xf>
    <xf numFmtId="0" fontId="0" fillId="2" borderId="0" xfId="0" applyFont="1" applyFill="1" applyBorder="1" applyAlignment="1" applyProtection="1">
      <alignment/>
      <protection/>
    </xf>
    <xf numFmtId="0" fontId="0" fillId="0" borderId="0" xfId="21" applyFont="1" applyAlignment="1" applyProtection="1">
      <alignment horizontal="center" vertical="center"/>
      <protection/>
    </xf>
    <xf numFmtId="0" fontId="0" fillId="0" borderId="10" xfId="21" applyFont="1" applyBorder="1" applyAlignment="1" applyProtection="1">
      <alignment vertical="center"/>
      <protection/>
    </xf>
    <xf numFmtId="0" fontId="0" fillId="0" borderId="7" xfId="21" applyFont="1" applyBorder="1" applyAlignment="1" applyProtection="1">
      <alignment vertical="center"/>
      <protection/>
    </xf>
    <xf numFmtId="0" fontId="0" fillId="0" borderId="7" xfId="21" applyFont="1" applyFill="1" applyBorder="1" applyAlignment="1" applyProtection="1">
      <alignment vertical="center"/>
      <protection/>
    </xf>
    <xf numFmtId="0" fontId="0" fillId="0" borderId="11" xfId="21" applyFont="1" applyBorder="1" applyAlignment="1" applyProtection="1">
      <alignment vertical="center"/>
      <protection/>
    </xf>
    <xf numFmtId="0" fontId="0" fillId="0" borderId="2" xfId="21" applyFont="1" applyBorder="1" applyAlignment="1" applyProtection="1">
      <alignment vertical="center"/>
      <protection/>
    </xf>
    <xf numFmtId="0" fontId="3" fillId="2" borderId="4" xfId="0" applyFont="1" applyFill="1" applyBorder="1" applyAlignment="1" applyProtection="1">
      <alignment vertical="center"/>
      <protection/>
    </xf>
    <xf numFmtId="0" fontId="0" fillId="0" borderId="3" xfId="21" applyFont="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11" fillId="0" borderId="0" xfId="0" applyFont="1" applyBorder="1" applyAlignment="1" applyProtection="1">
      <alignment horizontal="center"/>
      <protection/>
    </xf>
    <xf numFmtId="0" fontId="0" fillId="0" borderId="0" xfId="21" applyFont="1" applyBorder="1" applyAlignment="1" applyProtection="1">
      <alignment horizontal="center" vertical="center"/>
      <protection/>
    </xf>
    <xf numFmtId="0" fontId="11" fillId="0" borderId="4" xfId="0" applyFont="1" applyBorder="1" applyAlignment="1" applyProtection="1">
      <alignment/>
      <protection/>
    </xf>
    <xf numFmtId="0" fontId="0" fillId="0" borderId="4" xfId="0" applyFill="1" applyBorder="1" applyAlignment="1" applyProtection="1">
      <alignment/>
      <protection/>
    </xf>
    <xf numFmtId="0" fontId="0" fillId="0" borderId="0" xfId="21"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8" fillId="0" borderId="0" xfId="16" applyAlignment="1" applyProtection="1">
      <alignment horizontal="center"/>
      <protection/>
    </xf>
    <xf numFmtId="0" fontId="1" fillId="0" borderId="0" xfId="21" applyFont="1" applyFill="1" applyBorder="1" applyAlignment="1" applyProtection="1">
      <alignment horizontal="center" vertical="center"/>
      <protection/>
    </xf>
    <xf numFmtId="0" fontId="0" fillId="0" borderId="0" xfId="21" applyFont="1" applyFill="1" applyAlignment="1" applyProtection="1">
      <alignment horizontal="center" vertical="center"/>
      <protection/>
    </xf>
    <xf numFmtId="0" fontId="0" fillId="2" borderId="7" xfId="0" applyFill="1" applyBorder="1" applyAlignment="1" applyProtection="1">
      <alignment/>
      <protection/>
    </xf>
    <xf numFmtId="0" fontId="11" fillId="0" borderId="7" xfId="0" applyFont="1" applyBorder="1" applyAlignment="1" applyProtection="1">
      <alignment horizontal="center"/>
      <protection/>
    </xf>
    <xf numFmtId="0" fontId="0" fillId="0" borderId="7" xfId="21" applyFont="1" applyBorder="1" applyAlignment="1" applyProtection="1">
      <alignment horizontal="center" vertical="center"/>
      <protection/>
    </xf>
    <xf numFmtId="0" fontId="8" fillId="0" borderId="0" xfId="16" applyAlignment="1" applyProtection="1">
      <alignment horizontal="center" vertical="center"/>
      <protection/>
    </xf>
    <xf numFmtId="0" fontId="0" fillId="0" borderId="4" xfId="21" applyFont="1" applyBorder="1" applyAlignment="1" applyProtection="1">
      <alignment vertical="center"/>
      <protection/>
    </xf>
    <xf numFmtId="0" fontId="51" fillId="0" borderId="0" xfId="16" applyFont="1" applyFill="1" applyBorder="1" applyAlignment="1" applyProtection="1">
      <alignment horizontal="left"/>
      <protection/>
    </xf>
    <xf numFmtId="0" fontId="0" fillId="0" borderId="0" xfId="0" applyFill="1" applyBorder="1" applyAlignment="1" applyProtection="1">
      <alignment horizontal="center"/>
      <protection/>
    </xf>
    <xf numFmtId="172" fontId="2" fillId="0" borderId="13" xfId="19" applyNumberFormat="1" applyFont="1" applyFill="1" applyBorder="1" applyAlignment="1" applyProtection="1">
      <alignment horizontal="right"/>
      <protection/>
    </xf>
    <xf numFmtId="0" fontId="30" fillId="0" borderId="13" xfId="0" applyFont="1" applyFill="1" applyBorder="1" applyAlignment="1" applyProtection="1">
      <alignment/>
      <protection/>
    </xf>
    <xf numFmtId="3" fontId="4" fillId="0" borderId="0" xfId="0" applyNumberFormat="1" applyFont="1" applyFill="1" applyBorder="1" applyAlignment="1" applyProtection="1">
      <alignment horizontal="right"/>
      <protection/>
    </xf>
    <xf numFmtId="3" fontId="2" fillId="0" borderId="0" xfId="19" applyNumberFormat="1" applyFont="1" applyFill="1" applyBorder="1" applyAlignment="1" applyProtection="1">
      <alignment horizontal="right"/>
      <protection/>
    </xf>
    <xf numFmtId="166" fontId="10" fillId="0" borderId="0" xfId="19" applyNumberFormat="1" applyFont="1" applyFill="1" applyBorder="1" applyAlignment="1" applyProtection="1">
      <alignment horizontal="right"/>
      <protection/>
    </xf>
    <xf numFmtId="0" fontId="4" fillId="0" borderId="0" xfId="0" applyFont="1" applyFill="1" applyBorder="1" applyAlignment="1" applyProtection="1">
      <alignment horizontal="right"/>
      <protection/>
    </xf>
    <xf numFmtId="3" fontId="2" fillId="0" borderId="0" xfId="0" applyNumberFormat="1" applyFont="1" applyBorder="1" applyAlignment="1" applyProtection="1">
      <alignment horizontal="right"/>
      <protection/>
    </xf>
    <xf numFmtId="3" fontId="10" fillId="0" borderId="0" xfId="19" applyNumberFormat="1" applyFont="1" applyFill="1" applyBorder="1" applyAlignment="1" applyProtection="1">
      <alignment horizontal="right"/>
      <protection/>
    </xf>
    <xf numFmtId="165" fontId="2" fillId="0" borderId="0" xfId="22" applyNumberFormat="1" applyFont="1" applyFill="1" applyBorder="1" applyAlignment="1" applyProtection="1">
      <alignment horizontal="right"/>
      <protection/>
    </xf>
    <xf numFmtId="165" fontId="4" fillId="0" borderId="0" xfId="22" applyNumberFormat="1" applyFont="1" applyFill="1" applyBorder="1" applyAlignment="1" applyProtection="1">
      <alignment horizontal="right"/>
      <protection/>
    </xf>
    <xf numFmtId="165" fontId="10" fillId="0" borderId="0" xfId="22" applyNumberFormat="1" applyFont="1" applyFill="1" applyBorder="1" applyAlignment="1" applyProtection="1">
      <alignment horizontal="right"/>
      <protection/>
    </xf>
    <xf numFmtId="165" fontId="14" fillId="0" borderId="0" xfId="22" applyNumberFormat="1" applyFont="1" applyFill="1" applyBorder="1" applyAlignment="1" applyProtection="1">
      <alignment horizontal="right"/>
      <protection/>
    </xf>
    <xf numFmtId="0" fontId="30" fillId="0" borderId="13" xfId="0" applyFont="1" applyFill="1" applyBorder="1" applyAlignment="1" applyProtection="1">
      <alignment horizontal="right"/>
      <protection/>
    </xf>
    <xf numFmtId="3" fontId="2" fillId="0" borderId="7" xfId="0" applyNumberFormat="1" applyFont="1" applyBorder="1" applyAlignment="1" applyProtection="1">
      <alignment horizontal="right"/>
      <protection/>
    </xf>
    <xf numFmtId="3" fontId="4" fillId="0" borderId="7" xfId="0" applyNumberFormat="1" applyFont="1" applyFill="1" applyBorder="1" applyAlignment="1" applyProtection="1">
      <alignment horizontal="right"/>
      <protection/>
    </xf>
    <xf numFmtId="165" fontId="4" fillId="0" borderId="0" xfId="0" applyNumberFormat="1" applyFont="1" applyFill="1" applyBorder="1" applyAlignment="1" applyProtection="1">
      <alignment horizontal="right"/>
      <protection/>
    </xf>
    <xf numFmtId="165" fontId="2" fillId="0" borderId="0" xfId="22"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right"/>
      <protection/>
    </xf>
    <xf numFmtId="165" fontId="10" fillId="0" borderId="0" xfId="22" applyNumberFormat="1" applyFont="1" applyFill="1" applyBorder="1" applyAlignment="1" applyProtection="1">
      <alignment horizontal="right"/>
      <protection/>
    </xf>
    <xf numFmtId="0" fontId="2" fillId="0" borderId="0" xfId="0" applyFont="1" applyFill="1" applyBorder="1" applyAlignment="1" applyProtection="1">
      <alignment horizontal="right"/>
      <protection/>
    </xf>
    <xf numFmtId="164" fontId="2" fillId="0" borderId="7" xfId="0" applyNumberFormat="1" applyFont="1" applyBorder="1" applyAlignment="1" applyProtection="1">
      <alignment horizontal="right"/>
      <protection/>
    </xf>
    <xf numFmtId="0" fontId="14" fillId="0" borderId="7" xfId="0" applyFont="1" applyFill="1" applyBorder="1" applyAlignment="1" applyProtection="1">
      <alignment horizontal="right" vertical="center"/>
      <protection/>
    </xf>
    <xf numFmtId="164" fontId="2"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vertical="center"/>
      <protection/>
    </xf>
    <xf numFmtId="164" fontId="2" fillId="0" borderId="0" xfId="0" applyNumberFormat="1" applyFont="1" applyFill="1" applyBorder="1" applyAlignment="1" applyProtection="1">
      <alignment horizontal="right"/>
      <protection/>
    </xf>
    <xf numFmtId="164" fontId="10" fillId="0" borderId="0" xfId="0" applyNumberFormat="1" applyFont="1" applyBorder="1" applyAlignment="1" applyProtection="1">
      <alignment horizontal="right"/>
      <protection/>
    </xf>
    <xf numFmtId="164" fontId="10" fillId="0" borderId="0" xfId="0" applyNumberFormat="1" applyFont="1" applyBorder="1" applyAlignment="1" applyProtection="1">
      <alignment horizontal="right"/>
      <protection/>
    </xf>
    <xf numFmtId="165" fontId="10" fillId="0" borderId="0" xfId="22" applyNumberFormat="1" applyFont="1" applyAlignment="1" applyProtection="1">
      <alignment horizontal="right"/>
      <protection/>
    </xf>
    <xf numFmtId="0" fontId="8" fillId="0" borderId="2" xfId="16" applyBorder="1" applyAlignment="1" applyProtection="1">
      <alignment horizontal="left"/>
      <protection/>
    </xf>
    <xf numFmtId="164" fontId="5" fillId="0" borderId="0" xfId="21" applyNumberFormat="1" applyFont="1" applyFill="1" applyBorder="1" applyAlignment="1" applyProtection="1">
      <alignment vertical="center"/>
      <protection/>
    </xf>
    <xf numFmtId="0" fontId="0" fillId="0" borderId="3" xfId="21" applyFont="1" applyFill="1" applyBorder="1" applyAlignment="1" applyProtection="1">
      <alignment vertical="center"/>
      <protection/>
    </xf>
    <xf numFmtId="0" fontId="17" fillId="0" borderId="0" xfId="21" applyFont="1" applyFill="1" applyBorder="1" applyAlignment="1" applyProtection="1">
      <alignment horizontal="center" vertical="center"/>
      <protection/>
    </xf>
    <xf numFmtId="0" fontId="19" fillId="0" borderId="0" xfId="21" applyFont="1" applyFill="1" applyBorder="1" applyAlignment="1" applyProtection="1">
      <alignment horizontal="center" vertical="center"/>
      <protection/>
    </xf>
    <xf numFmtId="0" fontId="19" fillId="0" borderId="14" xfId="21" applyFont="1" applyBorder="1" applyAlignment="1" applyProtection="1">
      <alignment horizontal="center" vertical="center"/>
      <protection/>
    </xf>
    <xf numFmtId="0" fontId="6" fillId="0" borderId="0" xfId="21" applyNumberFormat="1" applyFont="1" applyFill="1" applyBorder="1" applyAlignment="1" applyProtection="1">
      <alignment horizontal="center" vertical="center" wrapText="1"/>
      <protection/>
    </xf>
    <xf numFmtId="0" fontId="18" fillId="0" borderId="0" xfId="21" applyFont="1" applyBorder="1" applyAlignment="1" applyProtection="1">
      <alignment vertical="center"/>
      <protection/>
    </xf>
    <xf numFmtId="0" fontId="19" fillId="0" borderId="15" xfId="21" applyFont="1" applyBorder="1" applyAlignment="1" applyProtection="1">
      <alignment horizontal="center" vertical="center"/>
      <protection/>
    </xf>
    <xf numFmtId="0" fontId="1" fillId="0" borderId="15" xfId="21" applyNumberFormat="1" applyFont="1" applyFill="1" applyBorder="1" applyAlignment="1" applyProtection="1">
      <alignment horizontal="center" vertical="center" wrapText="1"/>
      <protection/>
    </xf>
    <xf numFmtId="164" fontId="5" fillId="0" borderId="15" xfId="21" applyNumberFormat="1" applyFont="1" applyFill="1" applyBorder="1" applyAlignment="1" applyProtection="1">
      <alignment vertical="center"/>
      <protection/>
    </xf>
    <xf numFmtId="0" fontId="52" fillId="0" borderId="16" xfId="0" applyFont="1" applyFill="1" applyBorder="1" applyAlignment="1" applyProtection="1">
      <alignment horizontal="center" vertical="center" wrapText="1"/>
      <protection/>
    </xf>
    <xf numFmtId="0" fontId="36" fillId="0" borderId="0" xfId="21" applyFont="1" applyBorder="1" applyAlignment="1" applyProtection="1" quotePrefix="1">
      <alignment vertical="center"/>
      <protection/>
    </xf>
    <xf numFmtId="0" fontId="17" fillId="0" borderId="0" xfId="21" applyFont="1" applyFill="1" applyBorder="1" applyAlignment="1" applyProtection="1">
      <alignment horizontal="center" vertical="center" wrapText="1"/>
      <protection/>
    </xf>
    <xf numFmtId="0" fontId="0" fillId="0" borderId="4" xfId="0" applyFont="1" applyFill="1" applyBorder="1" applyAlignment="1" applyProtection="1">
      <alignment/>
      <protection/>
    </xf>
    <xf numFmtId="0" fontId="54" fillId="2" borderId="2" xfId="0" applyFont="1" applyFill="1" applyBorder="1" applyAlignment="1" applyProtection="1">
      <alignment vertical="center"/>
      <protection/>
    </xf>
    <xf numFmtId="0" fontId="54" fillId="2" borderId="0" xfId="0" applyFont="1" applyFill="1" applyBorder="1" applyAlignment="1" applyProtection="1">
      <alignment vertical="center"/>
      <protection/>
    </xf>
    <xf numFmtId="0" fontId="54" fillId="2" borderId="4" xfId="0" applyFont="1" applyFill="1" applyBorder="1" applyAlignment="1" applyProtection="1">
      <alignment vertical="center"/>
      <protection/>
    </xf>
    <xf numFmtId="3" fontId="2" fillId="0" borderId="0" xfId="19" applyNumberFormat="1" applyFont="1" applyFill="1" applyBorder="1" applyAlignment="1" applyProtection="1">
      <alignment horizontal="right"/>
      <protection/>
    </xf>
    <xf numFmtId="166" fontId="10" fillId="0" borderId="0" xfId="19" applyNumberFormat="1" applyFont="1" applyFill="1" applyBorder="1" applyAlignment="1" applyProtection="1">
      <alignment horizontal="right"/>
      <protection/>
    </xf>
    <xf numFmtId="3" fontId="10" fillId="0" borderId="0" xfId="19"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3" fontId="10" fillId="0" borderId="0" xfId="0"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0" fontId="6" fillId="3" borderId="17" xfId="21" applyNumberFormat="1" applyFont="1" applyFill="1" applyBorder="1" applyAlignment="1" applyProtection="1">
      <alignment horizontal="center" vertical="center" wrapText="1"/>
      <protection/>
    </xf>
    <xf numFmtId="0" fontId="24" fillId="0" borderId="18" xfId="21" applyFont="1" applyFill="1" applyBorder="1" applyAlignment="1" applyProtection="1">
      <alignment horizontal="left" vertical="center"/>
      <protection/>
    </xf>
    <xf numFmtId="0" fontId="6" fillId="3" borderId="1" xfId="21" applyNumberFormat="1" applyFont="1" applyFill="1" applyBorder="1" applyAlignment="1" applyProtection="1">
      <alignment horizontal="center" vertical="center" wrapText="1"/>
      <protection/>
    </xf>
    <xf numFmtId="0" fontId="6" fillId="3" borderId="19" xfId="21" applyNumberFormat="1" applyFont="1" applyFill="1" applyBorder="1" applyAlignment="1" applyProtection="1">
      <alignment horizontal="center" vertical="center" wrapText="1"/>
      <protection/>
    </xf>
    <xf numFmtId="0" fontId="6" fillId="3" borderId="20" xfId="21" applyNumberFormat="1" applyFont="1" applyFill="1" applyBorder="1" applyAlignment="1" applyProtection="1">
      <alignment horizontal="center" vertical="center" wrapText="1"/>
      <protection/>
    </xf>
    <xf numFmtId="0" fontId="6" fillId="3" borderId="15" xfId="21" applyNumberFormat="1" applyFont="1" applyFill="1" applyBorder="1" applyAlignment="1" applyProtection="1">
      <alignment horizontal="center" vertical="center" wrapText="1"/>
      <protection/>
    </xf>
    <xf numFmtId="0" fontId="1" fillId="0" borderId="21" xfId="21" applyNumberFormat="1" applyFont="1" applyFill="1" applyBorder="1" applyAlignment="1" applyProtection="1">
      <alignment horizontal="center" vertical="center" wrapText="1"/>
      <protection/>
    </xf>
    <xf numFmtId="0" fontId="6" fillId="3" borderId="22" xfId="21" applyFont="1" applyFill="1" applyBorder="1" applyAlignment="1" applyProtection="1">
      <alignment horizontal="left" vertical="center"/>
      <protection/>
    </xf>
    <xf numFmtId="0" fontId="6" fillId="3" borderId="23" xfId="21" applyFont="1" applyFill="1" applyBorder="1" applyAlignment="1" applyProtection="1">
      <alignment horizontal="left" vertical="center"/>
      <protection/>
    </xf>
    <xf numFmtId="0" fontId="47" fillId="0" borderId="24" xfId="21" applyNumberFormat="1" applyFont="1" applyFill="1" applyBorder="1" applyAlignment="1" applyProtection="1">
      <alignment horizontal="center" vertical="center" wrapText="1"/>
      <protection/>
    </xf>
    <xf numFmtId="0" fontId="1" fillId="0" borderId="25" xfId="21" applyNumberFormat="1" applyFont="1" applyFill="1" applyBorder="1" applyAlignment="1" applyProtection="1">
      <alignment horizontal="center" vertical="center" wrapText="1"/>
      <protection/>
    </xf>
    <xf numFmtId="0" fontId="1" fillId="0" borderId="26" xfId="21" applyNumberFormat="1" applyFont="1" applyFill="1" applyBorder="1" applyAlignment="1" applyProtection="1">
      <alignment horizontal="center" vertical="center" wrapText="1"/>
      <protection/>
    </xf>
    <xf numFmtId="164" fontId="5" fillId="0" borderId="27" xfId="21" applyNumberFormat="1" applyFont="1" applyFill="1" applyBorder="1" applyAlignment="1" applyProtection="1">
      <alignment vertical="center"/>
      <protection/>
    </xf>
    <xf numFmtId="164" fontId="5" fillId="0" borderId="28" xfId="21" applyNumberFormat="1" applyFont="1" applyFill="1" applyBorder="1" applyAlignment="1" applyProtection="1">
      <alignment vertical="center"/>
      <protection/>
    </xf>
    <xf numFmtId="164" fontId="5" fillId="0" borderId="29" xfId="21" applyNumberFormat="1" applyFont="1" applyFill="1" applyBorder="1" applyAlignment="1" applyProtection="1">
      <alignment vertical="center"/>
      <protection/>
    </xf>
    <xf numFmtId="0" fontId="1" fillId="0" borderId="18" xfId="0" applyFont="1" applyFill="1" applyBorder="1" applyAlignment="1" applyProtection="1">
      <alignment/>
      <protection/>
    </xf>
    <xf numFmtId="166" fontId="1" fillId="0" borderId="30" xfId="19" applyNumberFormat="1" applyFont="1" applyFill="1" applyBorder="1" applyAlignment="1" applyProtection="1">
      <alignment horizontal="right"/>
      <protection/>
    </xf>
    <xf numFmtId="166" fontId="1" fillId="0" borderId="27" xfId="19" applyNumberFormat="1" applyFont="1" applyFill="1" applyBorder="1" applyAlignment="1" applyProtection="1">
      <alignment horizontal="right"/>
      <protection/>
    </xf>
    <xf numFmtId="164" fontId="1" fillId="0" borderId="27" xfId="21" applyNumberFormat="1" applyFont="1" applyFill="1" applyBorder="1" applyAlignment="1" applyProtection="1">
      <alignment vertical="center"/>
      <protection/>
    </xf>
    <xf numFmtId="164" fontId="1" fillId="0" borderId="29" xfId="21" applyNumberFormat="1" applyFont="1" applyFill="1" applyBorder="1" applyAlignment="1" applyProtection="1">
      <alignment vertical="center"/>
      <protection/>
    </xf>
    <xf numFmtId="165" fontId="1" fillId="0" borderId="31" xfId="22" applyNumberFormat="1" applyFont="1" applyFill="1" applyBorder="1" applyAlignment="1" applyProtection="1">
      <alignment vertical="center"/>
      <protection/>
    </xf>
    <xf numFmtId="165" fontId="1" fillId="0" borderId="32" xfId="22" applyNumberFormat="1" applyFont="1" applyFill="1" applyBorder="1" applyAlignment="1" applyProtection="1">
      <alignment vertical="center"/>
      <protection/>
    </xf>
    <xf numFmtId="0" fontId="24" fillId="0" borderId="25" xfId="21" applyFont="1" applyFill="1" applyBorder="1" applyAlignment="1" applyProtection="1">
      <alignment horizontal="left" vertical="center"/>
      <protection/>
    </xf>
    <xf numFmtId="0" fontId="1" fillId="0" borderId="25" xfId="21" applyFont="1" applyFill="1" applyBorder="1" applyAlignment="1" applyProtection="1">
      <alignment horizontal="left" vertical="center" indent="1"/>
      <protection/>
    </xf>
    <xf numFmtId="165" fontId="1" fillId="0" borderId="30" xfId="22" applyNumberFormat="1" applyFont="1" applyBorder="1" applyAlignment="1" applyProtection="1">
      <alignment horizontal="right"/>
      <protection/>
    </xf>
    <xf numFmtId="165" fontId="1" fillId="0" borderId="27" xfId="22" applyNumberFormat="1" applyFont="1" applyBorder="1" applyAlignment="1" applyProtection="1">
      <alignment horizontal="right"/>
      <protection/>
    </xf>
    <xf numFmtId="0" fontId="1" fillId="0" borderId="33" xfId="0" applyFont="1" applyFill="1" applyBorder="1" applyAlignment="1" applyProtection="1">
      <alignment/>
      <protection/>
    </xf>
    <xf numFmtId="166" fontId="1" fillId="0" borderId="21" xfId="19" applyNumberFormat="1" applyFont="1" applyFill="1" applyBorder="1" applyAlignment="1" applyProtection="1">
      <alignment horizontal="right"/>
      <protection/>
    </xf>
    <xf numFmtId="165" fontId="1" fillId="0" borderId="31" xfId="22" applyNumberFormat="1" applyFont="1" applyFill="1" applyBorder="1" applyAlignment="1" applyProtection="1">
      <alignment vertical="center"/>
      <protection/>
    </xf>
    <xf numFmtId="0" fontId="1" fillId="0" borderId="34" xfId="21" applyFont="1" applyFill="1" applyBorder="1" applyAlignment="1" applyProtection="1">
      <alignment horizontal="left" vertical="center" indent="1"/>
      <protection/>
    </xf>
    <xf numFmtId="0" fontId="1" fillId="0" borderId="35" xfId="21" applyFont="1" applyFill="1" applyBorder="1" applyAlignment="1" applyProtection="1">
      <alignment horizontal="left" vertical="center" indent="1"/>
      <protection/>
    </xf>
    <xf numFmtId="0" fontId="24" fillId="0" borderId="34" xfId="21" applyFont="1" applyFill="1" applyBorder="1" applyAlignment="1" applyProtection="1">
      <alignment horizontal="left" vertical="center"/>
      <protection/>
    </xf>
    <xf numFmtId="164" fontId="5" fillId="0" borderId="36" xfId="21" applyNumberFormat="1" applyFont="1" applyFill="1" applyBorder="1" applyAlignment="1" applyProtection="1">
      <alignment vertical="center"/>
      <protection/>
    </xf>
    <xf numFmtId="0" fontId="0" fillId="0" borderId="37" xfId="21" applyFont="1" applyBorder="1" applyAlignment="1" applyProtection="1">
      <alignment vertical="center"/>
      <protection/>
    </xf>
    <xf numFmtId="0" fontId="1" fillId="0" borderId="38" xfId="21" applyFont="1" applyBorder="1" applyAlignment="1" applyProtection="1">
      <alignment vertical="center"/>
      <protection/>
    </xf>
    <xf numFmtId="0" fontId="57" fillId="0" borderId="0" xfId="21"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wrapText="1"/>
      <protection/>
    </xf>
    <xf numFmtId="0" fontId="57" fillId="0" borderId="0" xfId="21" applyFont="1" applyFill="1" applyBorder="1" applyAlignment="1" applyProtection="1">
      <alignment horizontal="center" vertical="center" wrapText="1"/>
      <protection/>
    </xf>
    <xf numFmtId="0" fontId="57" fillId="0" borderId="14" xfId="21" applyFont="1" applyBorder="1" applyAlignment="1" applyProtection="1">
      <alignment horizontal="center" vertical="center"/>
      <protection/>
    </xf>
    <xf numFmtId="0" fontId="57" fillId="0" borderId="15" xfId="21" applyFont="1" applyBorder="1" applyAlignment="1" applyProtection="1">
      <alignment horizontal="center" vertical="center"/>
      <protection/>
    </xf>
    <xf numFmtId="0" fontId="36" fillId="0" borderId="3" xfId="21" applyFont="1" applyBorder="1" applyAlignment="1" applyProtection="1">
      <alignment vertical="center"/>
      <protection/>
    </xf>
    <xf numFmtId="0" fontId="36" fillId="0" borderId="0" xfId="21" applyFont="1" applyBorder="1" applyAlignment="1" applyProtection="1">
      <alignment vertical="center"/>
      <protection/>
    </xf>
    <xf numFmtId="3" fontId="2" fillId="0" borderId="7" xfId="0" applyNumberFormat="1" applyFont="1" applyFill="1" applyBorder="1" applyAlignment="1" applyProtection="1">
      <alignment horizontal="right"/>
      <protection/>
    </xf>
    <xf numFmtId="0" fontId="2" fillId="0" borderId="7"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1" fillId="0" borderId="3" xfId="0" applyFont="1" applyFill="1" applyBorder="1" applyAlignment="1" applyProtection="1">
      <alignment horizontal="center" vertical="center"/>
      <protection/>
    </xf>
    <xf numFmtId="172" fontId="2" fillId="0" borderId="4" xfId="19" applyNumberFormat="1" applyFont="1" applyFill="1" applyBorder="1" applyAlignment="1" applyProtection="1">
      <alignment horizontal="right"/>
      <protection/>
    </xf>
    <xf numFmtId="172" fontId="10" fillId="0" borderId="4" xfId="19" applyNumberFormat="1" applyFont="1" applyFill="1" applyBorder="1" applyAlignment="1" applyProtection="1">
      <alignment horizontal="right"/>
      <protection/>
    </xf>
    <xf numFmtId="172" fontId="10" fillId="0" borderId="4" xfId="19" applyNumberFormat="1" applyFont="1" applyFill="1" applyBorder="1" applyAlignment="1" applyProtection="1">
      <alignment horizontal="right" wrapText="1"/>
      <protection/>
    </xf>
    <xf numFmtId="165" fontId="2" fillId="0" borderId="4" xfId="22" applyNumberFormat="1" applyFont="1" applyFill="1" applyBorder="1" applyAlignment="1" applyProtection="1">
      <alignment/>
      <protection/>
    </xf>
    <xf numFmtId="0" fontId="2" fillId="0" borderId="4" xfId="19" applyNumberFormat="1" applyFont="1" applyFill="1" applyBorder="1" applyAlignment="1" applyProtection="1">
      <alignment horizontal="right"/>
      <protection/>
    </xf>
    <xf numFmtId="0" fontId="6" fillId="0" borderId="4" xfId="0" applyFont="1" applyFill="1" applyBorder="1" applyAlignment="1" applyProtection="1">
      <alignment horizontal="center" vertical="center"/>
      <protection/>
    </xf>
    <xf numFmtId="0" fontId="2" fillId="0" borderId="0" xfId="16" applyFont="1" applyFill="1" applyBorder="1" applyAlignment="1" applyProtection="1">
      <alignment/>
      <protection/>
    </xf>
    <xf numFmtId="0" fontId="2" fillId="0" borderId="13" xfId="16" applyFont="1" applyFill="1" applyBorder="1" applyAlignment="1" applyProtection="1">
      <alignment/>
      <protection/>
    </xf>
    <xf numFmtId="0" fontId="0" fillId="0" borderId="7" xfId="0" applyFill="1" applyBorder="1" applyAlignment="1" applyProtection="1">
      <alignment horizontal="center"/>
      <protection/>
    </xf>
    <xf numFmtId="0" fontId="0" fillId="0" borderId="0" xfId="0" applyFont="1" applyBorder="1" applyAlignment="1" applyProtection="1">
      <alignment horizontal="right"/>
      <protection/>
    </xf>
    <xf numFmtId="0" fontId="13" fillId="0" borderId="3" xfId="0" applyFont="1" applyBorder="1" applyAlignment="1" applyProtection="1">
      <alignment/>
      <protection/>
    </xf>
    <xf numFmtId="0" fontId="0" fillId="0" borderId="3" xfId="0" applyFill="1" applyBorder="1" applyAlignment="1" applyProtection="1">
      <alignment/>
      <protection/>
    </xf>
    <xf numFmtId="0" fontId="1"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1" fillId="0" borderId="3" xfId="0" applyFont="1" applyFill="1" applyBorder="1" applyAlignment="1" applyProtection="1">
      <alignment horizontal="right" vertical="center"/>
      <protection/>
    </xf>
    <xf numFmtId="0" fontId="14" fillId="0" borderId="3" xfId="0" applyFont="1" applyFill="1" applyBorder="1" applyAlignment="1" applyProtection="1">
      <alignment horizontal="right" vertical="center"/>
      <protection/>
    </xf>
    <xf numFmtId="0" fontId="1" fillId="0" borderId="3" xfId="0" applyFont="1" applyFill="1" applyBorder="1" applyAlignment="1" applyProtection="1">
      <alignment horizontal="right" vertical="center"/>
      <protection/>
    </xf>
    <xf numFmtId="0" fontId="47" fillId="0" borderId="3" xfId="0" applyFont="1" applyFill="1" applyBorder="1" applyAlignment="1" applyProtection="1">
      <alignment horizontal="right" vertical="center"/>
      <protection/>
    </xf>
    <xf numFmtId="0" fontId="14" fillId="0" borderId="3" xfId="0" applyFont="1" applyFill="1" applyBorder="1" applyAlignment="1" applyProtection="1">
      <alignment horizontal="right" vertical="center"/>
      <protection/>
    </xf>
    <xf numFmtId="165" fontId="10" fillId="0" borderId="3" xfId="22" applyNumberFormat="1" applyFont="1" applyFill="1" applyBorder="1" applyAlignment="1" applyProtection="1">
      <alignment horizontal="right"/>
      <protection/>
    </xf>
    <xf numFmtId="165" fontId="14" fillId="0" borderId="3" xfId="22" applyNumberFormat="1" applyFont="1" applyFill="1" applyBorder="1" applyAlignment="1" applyProtection="1">
      <alignment horizontal="right"/>
      <protection/>
    </xf>
    <xf numFmtId="165" fontId="10" fillId="0" borderId="3" xfId="22" applyNumberFormat="1" applyFont="1" applyFill="1" applyBorder="1" applyAlignment="1" applyProtection="1">
      <alignment horizontal="right"/>
      <protection/>
    </xf>
    <xf numFmtId="0" fontId="2" fillId="0" borderId="7" xfId="19" applyNumberFormat="1" applyFont="1" applyFill="1" applyBorder="1" applyAlignment="1" applyProtection="1">
      <alignment horizontal="right"/>
      <protection/>
    </xf>
    <xf numFmtId="166" fontId="2" fillId="0" borderId="7" xfId="19" applyNumberFormat="1" applyFont="1" applyFill="1" applyBorder="1" applyAlignment="1" applyProtection="1">
      <alignment horizontal="right"/>
      <protection/>
    </xf>
    <xf numFmtId="0" fontId="4" fillId="0" borderId="7" xfId="0" applyFont="1" applyFill="1" applyBorder="1" applyAlignment="1" applyProtection="1">
      <alignment horizontal="right"/>
      <protection/>
    </xf>
    <xf numFmtId="0" fontId="4" fillId="0" borderId="7" xfId="0" applyFont="1" applyFill="1" applyBorder="1" applyAlignment="1" applyProtection="1">
      <alignment horizontal="right"/>
      <protection/>
    </xf>
    <xf numFmtId="166" fontId="10" fillId="0" borderId="7" xfId="19" applyNumberFormat="1" applyFont="1" applyFill="1" applyBorder="1" applyAlignment="1" applyProtection="1">
      <alignment horizontal="right"/>
      <protection/>
    </xf>
    <xf numFmtId="0" fontId="0" fillId="0" borderId="3" xfId="0" applyFont="1" applyFill="1" applyBorder="1" applyAlignment="1" applyProtection="1">
      <alignment horizontal="right"/>
      <protection/>
    </xf>
    <xf numFmtId="0" fontId="4" fillId="0" borderId="3" xfId="0" applyFont="1" applyFill="1" applyBorder="1" applyAlignment="1" applyProtection="1">
      <alignment horizontal="right"/>
      <protection/>
    </xf>
    <xf numFmtId="0" fontId="4" fillId="0" borderId="3" xfId="0" applyFont="1" applyFill="1" applyBorder="1" applyAlignment="1" applyProtection="1">
      <alignment horizontal="right"/>
      <protection/>
    </xf>
    <xf numFmtId="166" fontId="10" fillId="0" borderId="3" xfId="19"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167" fontId="45" fillId="0" borderId="0" xfId="0" applyNumberFormat="1" applyFont="1" applyFill="1" applyBorder="1" applyAlignment="1" applyProtection="1">
      <alignment horizontal="center"/>
      <protection/>
    </xf>
    <xf numFmtId="0" fontId="0" fillId="2" borderId="8" xfId="0" applyFill="1" applyBorder="1" applyAlignment="1" applyProtection="1">
      <alignment/>
      <protection/>
    </xf>
    <xf numFmtId="167" fontId="45" fillId="0" borderId="3" xfId="0" applyNumberFormat="1" applyFont="1" applyFill="1" applyBorder="1" applyAlignment="1" applyProtection="1">
      <alignment/>
      <protection/>
    </xf>
    <xf numFmtId="165" fontId="45" fillId="0" borderId="0" xfId="22" applyNumberFormat="1" applyFont="1" applyFill="1" applyBorder="1" applyAlignment="1" applyProtection="1">
      <alignment horizontal="right"/>
      <protection/>
    </xf>
    <xf numFmtId="9" fontId="10" fillId="0" borderId="0" xfId="22" applyFont="1" applyBorder="1" applyAlignment="1" applyProtection="1">
      <alignment horizontal="right"/>
      <protection/>
    </xf>
    <xf numFmtId="166" fontId="2" fillId="0" borderId="0" xfId="19" applyNumberFormat="1" applyFont="1" applyFill="1" applyBorder="1" applyAlignment="1" applyProtection="1">
      <alignment horizontal="right"/>
      <protection/>
    </xf>
    <xf numFmtId="0" fontId="2" fillId="0" borderId="3" xfId="0" applyFont="1" applyFill="1" applyBorder="1" applyAlignment="1" applyProtection="1">
      <alignment horizontal="right"/>
      <protection/>
    </xf>
    <xf numFmtId="0" fontId="1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165" fontId="10" fillId="0" borderId="3" xfId="22" applyNumberFormat="1" applyFont="1" applyFill="1" applyBorder="1" applyAlignment="1" applyProtection="1">
      <alignment horizontal="right" vertical="center"/>
      <protection/>
    </xf>
    <xf numFmtId="167" fontId="25" fillId="0" borderId="3"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protection/>
    </xf>
    <xf numFmtId="0" fontId="0" fillId="0" borderId="0" xfId="0" applyFont="1" applyBorder="1" applyAlignment="1" applyProtection="1">
      <alignment horizontal="right"/>
      <protection/>
    </xf>
    <xf numFmtId="0" fontId="1" fillId="0" borderId="3" xfId="0" applyFont="1" applyFill="1" applyBorder="1" applyAlignment="1" applyProtection="1">
      <alignment horizontal="center" vertical="center"/>
      <protection/>
    </xf>
    <xf numFmtId="0" fontId="47" fillId="0" borderId="3" xfId="0" applyFont="1" applyFill="1" applyBorder="1" applyAlignment="1" applyProtection="1">
      <alignment horizontal="center" vertical="center"/>
      <protection/>
    </xf>
    <xf numFmtId="165" fontId="10" fillId="0" borderId="3" xfId="22" applyNumberFormat="1" applyFont="1" applyFill="1" applyBorder="1" applyAlignment="1" applyProtection="1">
      <alignment horizontal="center"/>
      <protection/>
    </xf>
    <xf numFmtId="0" fontId="2" fillId="0" borderId="7" xfId="19" applyNumberFormat="1" applyFont="1" applyFill="1" applyBorder="1" applyAlignment="1" applyProtection="1">
      <alignment horizontal="right"/>
      <protection/>
    </xf>
    <xf numFmtId="166" fontId="2" fillId="0" borderId="7" xfId="19" applyNumberFormat="1" applyFont="1" applyFill="1" applyBorder="1" applyAlignment="1" applyProtection="1">
      <alignment horizontal="right"/>
      <protection/>
    </xf>
    <xf numFmtId="166" fontId="10" fillId="0" borderId="7" xfId="19" applyNumberFormat="1" applyFont="1" applyFill="1" applyBorder="1" applyAlignment="1" applyProtection="1">
      <alignment horizontal="center"/>
      <protection/>
    </xf>
    <xf numFmtId="0" fontId="0" fillId="0" borderId="3" xfId="0" applyFont="1" applyFill="1" applyBorder="1" applyAlignment="1" applyProtection="1">
      <alignment horizontal="right"/>
      <protection/>
    </xf>
    <xf numFmtId="0" fontId="0" fillId="0" borderId="3" xfId="0" applyFont="1" applyFill="1" applyBorder="1" applyAlignment="1" applyProtection="1">
      <alignment horizontal="right"/>
      <protection/>
    </xf>
    <xf numFmtId="166" fontId="10" fillId="0" borderId="3" xfId="19"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5" fontId="45" fillId="0" borderId="0" xfId="22" applyNumberFormat="1" applyFont="1" applyFill="1" applyBorder="1" applyAlignment="1" applyProtection="1">
      <alignment horizontal="center"/>
      <protection/>
    </xf>
    <xf numFmtId="0" fontId="14" fillId="0" borderId="3" xfId="0" applyFont="1" applyFill="1" applyBorder="1" applyAlignment="1" applyProtection="1">
      <alignment horizontal="center" vertical="center"/>
      <protection/>
    </xf>
    <xf numFmtId="166" fontId="2" fillId="0" borderId="0" xfId="19" applyNumberFormat="1" applyFont="1" applyFill="1" applyBorder="1" applyAlignment="1" applyProtection="1">
      <alignment horizontal="center"/>
      <protection/>
    </xf>
    <xf numFmtId="0" fontId="0" fillId="0" borderId="3" xfId="0" applyFont="1" applyBorder="1" applyAlignment="1" applyProtection="1">
      <alignment horizontal="right"/>
      <protection/>
    </xf>
    <xf numFmtId="0" fontId="2" fillId="0" borderId="0" xfId="0" applyFont="1" applyFill="1" applyBorder="1" applyAlignment="1" applyProtection="1">
      <alignment horizontal="center"/>
      <protection/>
    </xf>
    <xf numFmtId="0" fontId="2" fillId="0" borderId="3" xfId="0" applyFont="1" applyFill="1" applyBorder="1" applyAlignment="1" applyProtection="1">
      <alignment horizontal="center"/>
      <protection/>
    </xf>
    <xf numFmtId="0" fontId="10" fillId="0" borderId="0" xfId="0" applyFont="1" applyFill="1" applyBorder="1" applyAlignment="1" applyProtection="1">
      <alignment horizontal="center" vertical="center"/>
      <protection/>
    </xf>
    <xf numFmtId="167" fontId="25" fillId="0" borderId="3" xfId="0" applyNumberFormat="1" applyFont="1" applyFill="1" applyBorder="1" applyAlignment="1" applyProtection="1">
      <alignment horizontal="center" vertical="center"/>
      <protection/>
    </xf>
    <xf numFmtId="0" fontId="20" fillId="0" borderId="2" xfId="21" applyFont="1" applyBorder="1" applyAlignment="1" applyProtection="1">
      <alignment vertical="center"/>
      <protection/>
    </xf>
    <xf numFmtId="0" fontId="20" fillId="0" borderId="0" xfId="21" applyFont="1" applyBorder="1" applyAlignment="1" applyProtection="1">
      <alignment vertical="center"/>
      <protection/>
    </xf>
    <xf numFmtId="0" fontId="20" fillId="0" borderId="4" xfId="21" applyFont="1" applyBorder="1" applyAlignment="1" applyProtection="1">
      <alignment vertical="center"/>
      <protection/>
    </xf>
    <xf numFmtId="3" fontId="0" fillId="0" borderId="2" xfId="21" applyNumberFormat="1" applyFont="1" applyBorder="1" applyAlignment="1" applyProtection="1">
      <alignment vertical="center"/>
      <protection/>
    </xf>
    <xf numFmtId="164" fontId="0" fillId="0" borderId="4" xfId="21" applyNumberFormat="1" applyFont="1" applyBorder="1" applyAlignment="1" applyProtection="1">
      <alignment vertical="center"/>
      <protection/>
    </xf>
    <xf numFmtId="0" fontId="0" fillId="0" borderId="4" xfId="21" applyFont="1" applyBorder="1" applyAlignment="1" applyProtection="1">
      <alignment vertical="center"/>
      <protection/>
    </xf>
    <xf numFmtId="0" fontId="0" fillId="0" borderId="2" xfId="21" applyFont="1" applyBorder="1" applyAlignment="1" applyProtection="1">
      <alignment vertical="center"/>
      <protection/>
    </xf>
    <xf numFmtId="164" fontId="5" fillId="0" borderId="30" xfId="21" applyNumberFormat="1" applyFont="1" applyFill="1" applyBorder="1" applyAlignment="1" applyProtection="1">
      <alignment vertical="center"/>
      <protection/>
    </xf>
    <xf numFmtId="164" fontId="5" fillId="0" borderId="25" xfId="21" applyNumberFormat="1" applyFont="1" applyFill="1" applyBorder="1" applyAlignment="1" applyProtection="1">
      <alignment vertical="center"/>
      <protection/>
    </xf>
    <xf numFmtId="164" fontId="5" fillId="0" borderId="14" xfId="21" applyNumberFormat="1" applyFont="1" applyFill="1" applyBorder="1" applyAlignment="1" applyProtection="1">
      <alignment vertical="center"/>
      <protection/>
    </xf>
    <xf numFmtId="164" fontId="1" fillId="0" borderId="0" xfId="21" applyNumberFormat="1" applyFont="1" applyFill="1" applyBorder="1" applyAlignment="1" applyProtection="1">
      <alignment vertical="center"/>
      <protection/>
    </xf>
    <xf numFmtId="164" fontId="1" fillId="0" borderId="14" xfId="21" applyNumberFormat="1" applyFont="1" applyFill="1" applyBorder="1" applyAlignment="1" applyProtection="1">
      <alignment vertical="center"/>
      <protection/>
    </xf>
    <xf numFmtId="164" fontId="1" fillId="0" borderId="27" xfId="21" applyNumberFormat="1" applyFont="1" applyFill="1" applyBorder="1" applyAlignment="1" applyProtection="1">
      <alignment vertical="center"/>
      <protection/>
    </xf>
    <xf numFmtId="0" fontId="0" fillId="0" borderId="14" xfId="21" applyFont="1" applyBorder="1" applyAlignment="1" applyProtection="1">
      <alignment vertical="center"/>
      <protection/>
    </xf>
    <xf numFmtId="164" fontId="1" fillId="0" borderId="25" xfId="21" applyNumberFormat="1" applyFont="1" applyFill="1" applyBorder="1" applyAlignment="1" applyProtection="1">
      <alignment vertical="center"/>
      <protection/>
    </xf>
    <xf numFmtId="164" fontId="1" fillId="0" borderId="30" xfId="21" applyNumberFormat="1" applyFont="1" applyFill="1" applyBorder="1" applyAlignment="1" applyProtection="1">
      <alignment vertical="center"/>
      <protection/>
    </xf>
    <xf numFmtId="164" fontId="1" fillId="0" borderId="35" xfId="21" applyNumberFormat="1" applyFont="1" applyFill="1" applyBorder="1" applyAlignment="1" applyProtection="1">
      <alignment vertical="center"/>
      <protection/>
    </xf>
    <xf numFmtId="164" fontId="1" fillId="0" borderId="36" xfId="21" applyNumberFormat="1" applyFont="1" applyFill="1" applyBorder="1" applyAlignment="1" applyProtection="1">
      <alignment vertical="center"/>
      <protection/>
    </xf>
    <xf numFmtId="164" fontId="5" fillId="0" borderId="35" xfId="21" applyNumberFormat="1" applyFont="1" applyFill="1" applyBorder="1" applyAlignment="1" applyProtection="1">
      <alignment vertical="center"/>
      <protection/>
    </xf>
    <xf numFmtId="164" fontId="1" fillId="0" borderId="32" xfId="21" applyNumberFormat="1" applyFont="1" applyFill="1" applyBorder="1" applyAlignment="1" applyProtection="1">
      <alignment vertical="center"/>
      <protection/>
    </xf>
    <xf numFmtId="164" fontId="1" fillId="0" borderId="0" xfId="21" applyNumberFormat="1" applyFont="1" applyFill="1" applyBorder="1" applyAlignment="1" applyProtection="1">
      <alignment vertical="center"/>
      <protection/>
    </xf>
    <xf numFmtId="164" fontId="6" fillId="3" borderId="23" xfId="21" applyNumberFormat="1" applyFont="1" applyFill="1" applyBorder="1" applyAlignment="1" applyProtection="1">
      <alignment horizontal="center" vertical="center"/>
      <protection/>
    </xf>
    <xf numFmtId="164" fontId="6" fillId="3" borderId="39" xfId="21" applyNumberFormat="1" applyFont="1" applyFill="1" applyBorder="1" applyAlignment="1" applyProtection="1">
      <alignment horizontal="center" vertical="center"/>
      <protection/>
    </xf>
    <xf numFmtId="0" fontId="1" fillId="0" borderId="0" xfId="21" applyFont="1" applyFill="1" applyBorder="1" applyAlignment="1" applyProtection="1">
      <alignment horizontal="left" vertical="center" indent="1"/>
      <protection/>
    </xf>
    <xf numFmtId="164" fontId="0" fillId="0" borderId="21" xfId="21" applyNumberFormat="1" applyFont="1" applyFill="1" applyBorder="1" applyAlignment="1" applyProtection="1">
      <alignment vertical="center"/>
      <protection/>
    </xf>
    <xf numFmtId="164" fontId="1" fillId="0" borderId="28" xfId="21" applyNumberFormat="1" applyFont="1" applyFill="1" applyBorder="1" applyAlignment="1" applyProtection="1">
      <alignment vertical="center"/>
      <protection/>
    </xf>
    <xf numFmtId="0" fontId="1" fillId="0" borderId="28" xfId="21" applyFont="1" applyFill="1" applyBorder="1" applyAlignment="1" applyProtection="1">
      <alignment horizontal="left" vertical="center" indent="1"/>
      <protection/>
    </xf>
    <xf numFmtId="164" fontId="1" fillId="0" borderId="30" xfId="21" applyNumberFormat="1" applyFont="1" applyFill="1" applyBorder="1" applyAlignment="1" applyProtection="1">
      <alignment vertical="center"/>
      <protection/>
    </xf>
    <xf numFmtId="0" fontId="0" fillId="0" borderId="8" xfId="21" applyFont="1" applyBorder="1" applyAlignment="1" applyProtection="1">
      <alignment vertical="center"/>
      <protection/>
    </xf>
    <xf numFmtId="0" fontId="0" fillId="0" borderId="9" xfId="21" applyFont="1" applyBorder="1" applyAlignment="1" applyProtection="1">
      <alignment vertical="center"/>
      <protection/>
    </xf>
    <xf numFmtId="0" fontId="0" fillId="0" borderId="2" xfId="21" applyFont="1" applyFill="1" applyBorder="1" applyAlignment="1" applyProtection="1">
      <alignment vertical="center"/>
      <protection/>
    </xf>
    <xf numFmtId="0" fontId="0" fillId="0" borderId="4" xfId="21" applyFont="1" applyFill="1" applyBorder="1" applyAlignment="1" applyProtection="1">
      <alignment vertical="center"/>
      <protection/>
    </xf>
    <xf numFmtId="0" fontId="1" fillId="0" borderId="0" xfId="21" applyFont="1" applyFill="1" applyBorder="1" applyAlignment="1" applyProtection="1">
      <alignment horizontal="left" vertical="center" indent="1"/>
      <protection/>
    </xf>
    <xf numFmtId="164" fontId="1" fillId="0" borderId="28" xfId="21" applyNumberFormat="1" applyFont="1" applyFill="1" applyBorder="1" applyAlignment="1" applyProtection="1">
      <alignment vertical="center"/>
      <protection/>
    </xf>
    <xf numFmtId="0" fontId="1" fillId="0" borderId="28" xfId="21" applyFont="1" applyFill="1" applyBorder="1" applyAlignment="1" applyProtection="1">
      <alignment horizontal="left" vertical="center" indent="1"/>
      <protection/>
    </xf>
    <xf numFmtId="0" fontId="26" fillId="0" borderId="0" xfId="0" applyFont="1" applyFill="1" applyBorder="1" applyAlignment="1" applyProtection="1">
      <alignment horizontal="center" vertical="center"/>
      <protection/>
    </xf>
    <xf numFmtId="169" fontId="2" fillId="0" borderId="0" xfId="19" applyNumberFormat="1" applyFont="1" applyFill="1" applyBorder="1" applyAlignment="1" applyProtection="1">
      <alignment horizontal="center" vertical="center"/>
      <protection/>
    </xf>
    <xf numFmtId="166" fontId="2" fillId="0" borderId="0" xfId="19" applyNumberFormat="1" applyFont="1" applyFill="1" applyBorder="1" applyAlignment="1" applyProtection="1">
      <alignment horizontal="center" vertical="center"/>
      <protection/>
    </xf>
    <xf numFmtId="166" fontId="4" fillId="0" borderId="0" xfId="19" applyNumberFormat="1" applyFont="1" applyFill="1" applyBorder="1" applyAlignment="1" applyProtection="1">
      <alignment horizontal="center" vertical="center"/>
      <protection/>
    </xf>
    <xf numFmtId="165" fontId="13" fillId="0" borderId="0" xfId="22" applyNumberFormat="1" applyFont="1" applyFill="1" applyBorder="1" applyAlignment="1" applyProtection="1">
      <alignment horizontal="center" vertical="center"/>
      <protection/>
    </xf>
    <xf numFmtId="169" fontId="6" fillId="0" borderId="0" xfId="19" applyNumberFormat="1" applyFont="1" applyFill="1" applyBorder="1" applyAlignment="1" applyProtection="1">
      <alignment horizontal="center" vertical="center"/>
      <protection/>
    </xf>
    <xf numFmtId="166" fontId="6" fillId="0" borderId="0" xfId="19" applyNumberFormat="1" applyFont="1" applyFill="1" applyBorder="1" applyAlignment="1" applyProtection="1">
      <alignment horizontal="center" vertical="center"/>
      <protection/>
    </xf>
    <xf numFmtId="166" fontId="14" fillId="0" borderId="0" xfId="19" applyNumberFormat="1" applyFont="1" applyFill="1" applyBorder="1" applyAlignment="1" applyProtection="1">
      <alignment horizontal="center" vertical="center"/>
      <protection/>
    </xf>
    <xf numFmtId="166" fontId="26" fillId="0" borderId="0" xfId="19" applyNumberFormat="1" applyFont="1" applyFill="1" applyBorder="1" applyAlignment="1" applyProtection="1">
      <alignment horizontal="center" vertical="center"/>
      <protection/>
    </xf>
    <xf numFmtId="169" fontId="10" fillId="0" borderId="0" xfId="19" applyNumberFormat="1" applyFont="1" applyFill="1" applyBorder="1" applyAlignment="1" applyProtection="1">
      <alignment horizontal="center" vertical="center"/>
      <protection/>
    </xf>
    <xf numFmtId="0" fontId="10" fillId="0" borderId="0" xfId="0" applyFont="1" applyBorder="1" applyAlignment="1" applyProtection="1">
      <alignment horizontal="center"/>
      <protection/>
    </xf>
    <xf numFmtId="165" fontId="13" fillId="0" borderId="0" xfId="22" applyNumberFormat="1" applyFont="1" applyBorder="1" applyAlignment="1" applyProtection="1">
      <alignment horizontal="center"/>
      <protection/>
    </xf>
    <xf numFmtId="0" fontId="2" fillId="0" borderId="0" xfId="0" applyFont="1" applyBorder="1" applyAlignment="1" applyProtection="1">
      <alignment horizontal="center"/>
      <protection/>
    </xf>
    <xf numFmtId="165" fontId="2" fillId="0" borderId="0" xfId="22" applyNumberFormat="1" applyFont="1" applyFill="1" applyBorder="1" applyAlignment="1" applyProtection="1">
      <alignment horizontal="center" vertical="center"/>
      <protection/>
    </xf>
    <xf numFmtId="167" fontId="13" fillId="0" borderId="0" xfId="0" applyNumberFormat="1" applyFont="1" applyBorder="1" applyAlignment="1" applyProtection="1">
      <alignment horizontal="center"/>
      <protection/>
    </xf>
    <xf numFmtId="169" fontId="2"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44" fillId="0" borderId="0" xfId="0" applyFont="1" applyFill="1" applyBorder="1" applyAlignment="1" applyProtection="1">
      <alignment horizontal="center" vertical="center"/>
      <protection/>
    </xf>
    <xf numFmtId="0" fontId="0" fillId="0" borderId="3" xfId="0" applyFill="1" applyBorder="1" applyAlignment="1" applyProtection="1">
      <alignment horizontal="center"/>
      <protection/>
    </xf>
    <xf numFmtId="0" fontId="26" fillId="0" borderId="4"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protection/>
    </xf>
    <xf numFmtId="165" fontId="13" fillId="0" borderId="4" xfId="22" applyNumberFormat="1" applyFont="1" applyBorder="1" applyAlignment="1" applyProtection="1">
      <alignment horizontal="center"/>
      <protection/>
    </xf>
    <xf numFmtId="167" fontId="13" fillId="0" borderId="4" xfId="0" applyNumberFormat="1" applyFont="1" applyBorder="1" applyAlignment="1" applyProtection="1">
      <alignment horizontal="center"/>
      <protection/>
    </xf>
    <xf numFmtId="0" fontId="2" fillId="0" borderId="4" xfId="0" applyFont="1" applyBorder="1" applyAlignment="1" applyProtection="1">
      <alignment horizontal="center"/>
      <protection/>
    </xf>
    <xf numFmtId="3" fontId="10" fillId="0" borderId="0" xfId="19" applyNumberFormat="1" applyFont="1" applyFill="1" applyBorder="1" applyAlignment="1" applyProtection="1">
      <alignment horizontal="center"/>
      <protection/>
    </xf>
    <xf numFmtId="0" fontId="0" fillId="0" borderId="0" xfId="0" applyBorder="1" applyAlignment="1" applyProtection="1">
      <alignment horizontal="center"/>
      <protection/>
    </xf>
    <xf numFmtId="0" fontId="0" fillId="0" borderId="3" xfId="0" applyBorder="1" applyAlignment="1" applyProtection="1">
      <alignment horizontal="center"/>
      <protection/>
    </xf>
    <xf numFmtId="0" fontId="0" fillId="0" borderId="9" xfId="0" applyBorder="1" applyAlignment="1" applyProtection="1">
      <alignment horizontal="center"/>
      <protection/>
    </xf>
    <xf numFmtId="167" fontId="13" fillId="0" borderId="0" xfId="22" applyNumberFormat="1" applyFont="1" applyBorder="1" applyAlignment="1" applyProtection="1">
      <alignment horizontal="center"/>
      <protection/>
    </xf>
    <xf numFmtId="165" fontId="13" fillId="0" borderId="0" xfId="22" applyNumberFormat="1" applyFont="1" applyBorder="1" applyAlignment="1" applyProtection="1">
      <alignment horizontal="center"/>
      <protection/>
    </xf>
    <xf numFmtId="3" fontId="6" fillId="0" borderId="3" xfId="0" applyNumberFormat="1" applyFont="1" applyFill="1" applyBorder="1" applyAlignment="1" applyProtection="1">
      <alignment horizontal="center" vertical="center"/>
      <protection/>
    </xf>
    <xf numFmtId="0" fontId="1" fillId="2" borderId="2" xfId="0" applyFont="1" applyFill="1" applyBorder="1" applyAlignment="1" applyProtection="1">
      <alignment/>
      <protection/>
    </xf>
    <xf numFmtId="3" fontId="10" fillId="0" borderId="0" xfId="0" applyNumberFormat="1" applyFont="1" applyFill="1" applyBorder="1" applyAlignment="1" applyProtection="1">
      <alignment horizontal="center"/>
      <protection/>
    </xf>
    <xf numFmtId="0" fontId="1" fillId="0" borderId="4" xfId="0" applyFont="1" applyBorder="1" applyAlignment="1" applyProtection="1">
      <alignment/>
      <protection/>
    </xf>
    <xf numFmtId="3" fontId="2" fillId="0" borderId="0" xfId="0" applyNumberFormat="1" applyFont="1" applyFill="1" applyBorder="1" applyAlignment="1" applyProtection="1">
      <alignment horizontal="center"/>
      <protection/>
    </xf>
    <xf numFmtId="167" fontId="2" fillId="0" borderId="0" xfId="0" applyNumberFormat="1" applyFont="1" applyBorder="1" applyAlignment="1" applyProtection="1">
      <alignment horizontal="center"/>
      <protection/>
    </xf>
    <xf numFmtId="3" fontId="10" fillId="0" borderId="0" xfId="0" applyNumberFormat="1" applyFont="1" applyFill="1" applyBorder="1" applyAlignment="1" applyProtection="1">
      <alignment horizontal="left"/>
      <protection/>
    </xf>
    <xf numFmtId="0" fontId="0" fillId="0" borderId="2" xfId="21" applyFont="1" applyFill="1" applyBorder="1" applyAlignment="1" applyProtection="1">
      <alignment vertical="center"/>
      <protection/>
    </xf>
    <xf numFmtId="0" fontId="0" fillId="0" borderId="4" xfId="21" applyFont="1" applyFill="1" applyBorder="1" applyAlignment="1" applyProtection="1">
      <alignment vertical="center"/>
      <protection/>
    </xf>
    <xf numFmtId="164" fontId="0" fillId="0" borderId="4" xfId="21" applyNumberFormat="1" applyFont="1" applyFill="1" applyBorder="1" applyAlignment="1" applyProtection="1">
      <alignment vertical="center"/>
      <protection/>
    </xf>
    <xf numFmtId="0" fontId="0" fillId="0" borderId="8" xfId="21" applyFont="1" applyBorder="1" applyAlignment="1" applyProtection="1">
      <alignment vertical="center"/>
      <protection/>
    </xf>
    <xf numFmtId="0" fontId="0" fillId="0" borderId="9" xfId="21" applyFont="1" applyBorder="1" applyAlignment="1" applyProtection="1">
      <alignment vertical="center"/>
      <protection/>
    </xf>
    <xf numFmtId="0" fontId="20" fillId="0" borderId="0" xfId="21" applyFont="1" applyBorder="1" applyAlignment="1" applyProtection="1">
      <alignment horizontal="center" vertical="center"/>
      <protection/>
    </xf>
    <xf numFmtId="0" fontId="20" fillId="0" borderId="3" xfId="21" applyFont="1" applyBorder="1" applyAlignment="1" applyProtection="1">
      <alignment horizontal="center" vertical="center"/>
      <protection/>
    </xf>
    <xf numFmtId="0" fontId="20" fillId="0" borderId="3" xfId="21" applyFont="1" applyBorder="1" applyAlignment="1" applyProtection="1">
      <alignment vertical="center"/>
      <protection/>
    </xf>
    <xf numFmtId="0" fontId="20" fillId="0" borderId="3" xfId="0"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20" fillId="0" borderId="0" xfId="21"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locked="0"/>
    </xf>
    <xf numFmtId="0" fontId="0" fillId="2" borderId="0" xfId="0" applyFont="1" applyFill="1" applyBorder="1" applyAlignment="1" applyProtection="1">
      <alignment/>
      <protection locked="0"/>
    </xf>
    <xf numFmtId="0" fontId="14" fillId="0" borderId="0" xfId="0" applyFont="1" applyBorder="1" applyAlignment="1" applyProtection="1">
      <alignment horizontal="center"/>
      <protection locked="0"/>
    </xf>
    <xf numFmtId="0" fontId="23" fillId="0" borderId="0" xfId="0" applyFont="1" applyBorder="1" applyAlignment="1" applyProtection="1">
      <alignment/>
      <protection locked="0"/>
    </xf>
    <xf numFmtId="0" fontId="2" fillId="0" borderId="0" xfId="16" applyFont="1" applyBorder="1" applyAlignment="1" applyProtection="1">
      <alignment/>
      <protection locked="0"/>
    </xf>
    <xf numFmtId="0" fontId="2" fillId="0" borderId="0" xfId="16" applyFont="1" applyBorder="1" applyAlignment="1" applyProtection="1">
      <alignment/>
      <protection locked="0"/>
    </xf>
    <xf numFmtId="0" fontId="2" fillId="0" borderId="0" xfId="0" applyFont="1" applyBorder="1" applyAlignment="1" applyProtection="1">
      <alignment horizontal="center"/>
      <protection locked="0"/>
    </xf>
    <xf numFmtId="0" fontId="48" fillId="0" borderId="4" xfId="0" applyFont="1" applyFill="1" applyBorder="1" applyAlignment="1" applyProtection="1">
      <alignment horizontal="center" vertical="center" wrapText="1"/>
      <protection/>
    </xf>
    <xf numFmtId="0" fontId="36" fillId="0" borderId="0" xfId="0" applyFont="1" applyAlignment="1" applyProtection="1">
      <alignment/>
      <protection locked="0"/>
    </xf>
    <xf numFmtId="165" fontId="0" fillId="0" borderId="0" xfId="22" applyNumberFormat="1" applyAlignment="1" applyProtection="1">
      <alignment/>
      <protection locked="0"/>
    </xf>
    <xf numFmtId="0" fontId="0" fillId="2" borderId="0" xfId="0" applyFill="1" applyAlignment="1" applyProtection="1">
      <alignment/>
      <protection locked="0"/>
    </xf>
    <xf numFmtId="165" fontId="4" fillId="0" borderId="0" xfId="22" applyNumberFormat="1" applyFont="1" applyAlignment="1" applyProtection="1">
      <alignment horizontal="center"/>
      <protection locked="0"/>
    </xf>
    <xf numFmtId="0" fontId="26" fillId="2" borderId="3" xfId="0" applyFont="1" applyFill="1" applyBorder="1" applyAlignment="1" applyProtection="1">
      <alignment horizontal="center" vertical="center"/>
      <protection/>
    </xf>
    <xf numFmtId="165" fontId="31" fillId="0" borderId="3" xfId="22" applyNumberFormat="1" applyFont="1" applyFill="1" applyBorder="1" applyAlignment="1" applyProtection="1">
      <alignment horizontal="center" vertical="center"/>
      <protection/>
    </xf>
    <xf numFmtId="0" fontId="26" fillId="2" borderId="0" xfId="0" applyFont="1" applyFill="1" applyBorder="1" applyAlignment="1" applyProtection="1">
      <alignment horizontal="center" vertical="center"/>
      <protection/>
    </xf>
    <xf numFmtId="165" fontId="26" fillId="0" borderId="0" xfId="22" applyNumberFormat="1" applyFont="1" applyFill="1" applyBorder="1" applyAlignment="1" applyProtection="1">
      <alignment horizontal="center" vertical="center"/>
      <protection/>
    </xf>
    <xf numFmtId="0" fontId="2" fillId="0" borderId="0" xfId="0" applyFont="1" applyBorder="1" applyAlignment="1" applyProtection="1">
      <alignment vertical="center"/>
      <protection/>
    </xf>
    <xf numFmtId="165" fontId="2" fillId="2" borderId="0" xfId="22" applyNumberFormat="1" applyFont="1" applyFill="1" applyBorder="1" applyAlignment="1" applyProtection="1">
      <alignment horizontal="center"/>
      <protection/>
    </xf>
    <xf numFmtId="167" fontId="4" fillId="0" borderId="0" xfId="22" applyNumberFormat="1" applyFont="1" applyBorder="1" applyAlignment="1" applyProtection="1" quotePrefix="1">
      <alignment horizontal="center"/>
      <protection/>
    </xf>
    <xf numFmtId="0" fontId="36" fillId="2" borderId="2" xfId="0" applyFont="1" applyFill="1" applyBorder="1" applyAlignment="1" applyProtection="1">
      <alignment/>
      <protection/>
    </xf>
    <xf numFmtId="0" fontId="4" fillId="0" borderId="0" xfId="0" applyFont="1" applyBorder="1" applyAlignment="1" applyProtection="1">
      <alignment vertical="center"/>
      <protection/>
    </xf>
    <xf numFmtId="165" fontId="4" fillId="0" borderId="0" xfId="22" applyNumberFormat="1" applyFont="1" applyBorder="1" applyAlignment="1" applyProtection="1">
      <alignment horizontal="center"/>
      <protection/>
    </xf>
    <xf numFmtId="165" fontId="4" fillId="0" borderId="0" xfId="22" applyNumberFormat="1" applyFont="1" applyFill="1" applyBorder="1" applyAlignment="1" applyProtection="1">
      <alignment horizontal="center"/>
      <protection/>
    </xf>
    <xf numFmtId="165" fontId="4" fillId="2" borderId="0" xfId="22" applyNumberFormat="1" applyFont="1" applyFill="1" applyBorder="1" applyAlignment="1" applyProtection="1">
      <alignment horizontal="center"/>
      <protection/>
    </xf>
    <xf numFmtId="0" fontId="36" fillId="0" borderId="4" xfId="0" applyFont="1" applyBorder="1" applyAlignment="1" applyProtection="1">
      <alignment/>
      <protection/>
    </xf>
    <xf numFmtId="3" fontId="2" fillId="2" borderId="0" xfId="0" applyNumberFormat="1" applyFont="1" applyFill="1" applyBorder="1" applyAlignment="1" applyProtection="1">
      <alignment horizontal="center"/>
      <protection/>
    </xf>
    <xf numFmtId="168" fontId="2" fillId="0" borderId="0" xfId="0" applyNumberFormat="1" applyFont="1" applyFill="1" applyBorder="1" applyAlignment="1" applyProtection="1">
      <alignment horizontal="center"/>
      <protection/>
    </xf>
    <xf numFmtId="168" fontId="2" fillId="2" borderId="0" xfId="0" applyNumberFormat="1" applyFont="1" applyFill="1" applyBorder="1" applyAlignment="1" applyProtection="1">
      <alignment horizontal="center"/>
      <protection/>
    </xf>
    <xf numFmtId="165" fontId="4" fillId="0" borderId="0" xfId="22" applyNumberFormat="1" applyFont="1" applyBorder="1" applyAlignment="1" applyProtection="1" quotePrefix="1">
      <alignment horizontal="center"/>
      <protection/>
    </xf>
    <xf numFmtId="0" fontId="2" fillId="2" borderId="0" xfId="0" applyFont="1" applyFill="1" applyBorder="1" applyAlignment="1" applyProtection="1">
      <alignment horizontal="center"/>
      <protection/>
    </xf>
    <xf numFmtId="0" fontId="0" fillId="0" borderId="2" xfId="0" applyFill="1" applyBorder="1" applyAlignment="1" applyProtection="1">
      <alignment/>
      <protection/>
    </xf>
    <xf numFmtId="0" fontId="0" fillId="2" borderId="0" xfId="0" applyFill="1" applyBorder="1" applyAlignment="1" applyProtection="1">
      <alignment horizontal="center"/>
      <protection/>
    </xf>
    <xf numFmtId="165" fontId="26" fillId="0" borderId="3" xfId="22" applyNumberFormat="1" applyFont="1" applyFill="1" applyBorder="1" applyAlignment="1" applyProtection="1">
      <alignment horizontal="center" vertical="center"/>
      <protection/>
    </xf>
    <xf numFmtId="3" fontId="10" fillId="0" borderId="0" xfId="0" applyNumberFormat="1" applyFont="1" applyBorder="1" applyAlignment="1" applyProtection="1">
      <alignment horizontal="center"/>
      <protection/>
    </xf>
    <xf numFmtId="3" fontId="10" fillId="2" borderId="0" xfId="0" applyNumberFormat="1" applyFont="1" applyFill="1" applyBorder="1" applyAlignment="1" applyProtection="1">
      <alignment horizontal="center"/>
      <protection/>
    </xf>
    <xf numFmtId="165" fontId="14" fillId="0" borderId="0" xfId="22" applyNumberFormat="1" applyFont="1" applyBorder="1" applyAlignment="1" applyProtection="1">
      <alignment horizontal="center"/>
      <protection/>
    </xf>
    <xf numFmtId="3" fontId="2" fillId="0" borderId="0" xfId="0" applyNumberFormat="1" applyFont="1" applyBorder="1" applyAlignment="1" applyProtection="1">
      <alignment horizontal="center"/>
      <protection/>
    </xf>
    <xf numFmtId="3" fontId="2" fillId="2" borderId="0" xfId="0" applyNumberFormat="1" applyFont="1" applyFill="1" applyBorder="1" applyAlignment="1" applyProtection="1">
      <alignment horizontal="center"/>
      <protection/>
    </xf>
    <xf numFmtId="165" fontId="4" fillId="0" borderId="0" xfId="22" applyNumberFormat="1" applyFont="1" applyBorder="1" applyAlignment="1" applyProtection="1">
      <alignment horizontal="center"/>
      <protection/>
    </xf>
    <xf numFmtId="165" fontId="2" fillId="0" borderId="0" xfId="22" applyNumberFormat="1" applyFont="1" applyBorder="1" applyAlignment="1" applyProtection="1">
      <alignment horizontal="center"/>
      <protection/>
    </xf>
    <xf numFmtId="165" fontId="0" fillId="2" borderId="2" xfId="22" applyNumberFormat="1" applyFill="1" applyBorder="1" applyAlignment="1" applyProtection="1">
      <alignment/>
      <protection/>
    </xf>
    <xf numFmtId="165" fontId="4" fillId="0" borderId="0" xfId="22" applyNumberFormat="1" applyFont="1" applyBorder="1" applyAlignment="1" applyProtection="1">
      <alignment horizontal="left" indent="1"/>
      <protection/>
    </xf>
    <xf numFmtId="165" fontId="2" fillId="2" borderId="0" xfId="22" applyNumberFormat="1" applyFont="1" applyFill="1" applyBorder="1" applyAlignment="1" applyProtection="1">
      <alignment horizontal="center"/>
      <protection/>
    </xf>
    <xf numFmtId="165" fontId="0" fillId="0" borderId="4" xfId="22" applyNumberFormat="1" applyBorder="1" applyAlignment="1" applyProtection="1">
      <alignment/>
      <protection/>
    </xf>
    <xf numFmtId="0" fontId="2" fillId="2" borderId="0" xfId="0" applyFont="1" applyFill="1" applyBorder="1" applyAlignment="1" applyProtection="1">
      <alignment horizontal="center"/>
      <protection/>
    </xf>
    <xf numFmtId="165" fontId="2" fillId="0" borderId="0" xfId="0" applyNumberFormat="1" applyFont="1" applyBorder="1" applyAlignment="1" applyProtection="1">
      <alignment horizontal="center"/>
      <protection/>
    </xf>
    <xf numFmtId="173" fontId="10" fillId="0" borderId="0" xfId="0" applyNumberFormat="1" applyFont="1" applyBorder="1" applyAlignment="1" applyProtection="1">
      <alignment horizontal="center"/>
      <protection/>
    </xf>
    <xf numFmtId="173" fontId="10" fillId="0" borderId="0" xfId="0" applyNumberFormat="1" applyFont="1" applyFill="1" applyBorder="1" applyAlignment="1" applyProtection="1">
      <alignment horizontal="center"/>
      <protection/>
    </xf>
    <xf numFmtId="173" fontId="10" fillId="2" borderId="0" xfId="0" applyNumberFormat="1" applyFont="1" applyFill="1" applyBorder="1" applyAlignment="1" applyProtection="1">
      <alignment horizontal="center"/>
      <protection/>
    </xf>
    <xf numFmtId="173" fontId="14" fillId="0" borderId="0" xfId="22" applyNumberFormat="1" applyFont="1" applyBorder="1" applyAlignment="1" applyProtection="1">
      <alignment horizontal="center"/>
      <protection/>
    </xf>
    <xf numFmtId="165" fontId="4" fillId="0" borderId="3" xfId="22" applyNumberFormat="1" applyFont="1" applyBorder="1" applyAlignment="1" applyProtection="1">
      <alignment horizontal="center"/>
      <protection/>
    </xf>
    <xf numFmtId="0" fontId="0" fillId="2" borderId="7" xfId="0" applyFill="1" applyBorder="1" applyAlignment="1" applyProtection="1">
      <alignment horizontal="center"/>
      <protection/>
    </xf>
    <xf numFmtId="165" fontId="0" fillId="0" borderId="0" xfId="22" applyNumberFormat="1" applyAlignment="1" applyProtection="1">
      <alignment horizontal="center"/>
      <protection locked="0"/>
    </xf>
    <xf numFmtId="0" fontId="0" fillId="0" borderId="0" xfId="0" applyFont="1" applyAlignment="1" applyProtection="1">
      <alignment/>
      <protection locked="0"/>
    </xf>
    <xf numFmtId="0" fontId="25" fillId="2" borderId="0" xfId="0" applyFont="1" applyFill="1" applyBorder="1" applyAlignment="1" applyProtection="1">
      <alignment/>
      <protection locked="0"/>
    </xf>
    <xf numFmtId="0" fontId="1" fillId="2" borderId="0" xfId="0" applyFont="1" applyFill="1" applyAlignment="1" applyProtection="1">
      <alignment/>
      <protection locked="0"/>
    </xf>
    <xf numFmtId="0" fontId="36" fillId="2" borderId="0" xfId="0" applyFont="1" applyFill="1" applyAlignment="1" applyProtection="1">
      <alignment/>
      <protection locked="0"/>
    </xf>
    <xf numFmtId="0" fontId="0" fillId="0" borderId="0" xfId="0" applyBorder="1" applyAlignment="1" applyProtection="1">
      <alignment horizontal="center" vertical="center"/>
      <protection/>
    </xf>
    <xf numFmtId="165" fontId="0" fillId="0" borderId="0" xfId="22" applyNumberFormat="1" applyBorder="1" applyAlignment="1" applyProtection="1">
      <alignment horizontal="center" vertical="center"/>
      <protection/>
    </xf>
    <xf numFmtId="3" fontId="4" fillId="0" borderId="0" xfId="0" applyNumberFormat="1" applyFont="1" applyBorder="1" applyAlignment="1" applyProtection="1">
      <alignment horizontal="center"/>
      <protection/>
    </xf>
    <xf numFmtId="165" fontId="36" fillId="0" borderId="0" xfId="22" applyNumberFormat="1" applyFont="1" applyBorder="1" applyAlignment="1" applyProtection="1">
      <alignment horizontal="center"/>
      <protection/>
    </xf>
    <xf numFmtId="0" fontId="4" fillId="0" borderId="0" xfId="0" applyFont="1" applyBorder="1" applyAlignment="1" applyProtection="1">
      <alignment horizontal="center"/>
      <protection/>
    </xf>
    <xf numFmtId="165" fontId="0" fillId="0" borderId="0" xfId="22" applyNumberFormat="1" applyBorder="1" applyAlignment="1" applyProtection="1">
      <alignment horizontal="center"/>
      <protection/>
    </xf>
    <xf numFmtId="0" fontId="0" fillId="2" borderId="2" xfId="0" applyFont="1" applyFill="1" applyBorder="1" applyAlignment="1" applyProtection="1">
      <alignment/>
      <protection/>
    </xf>
    <xf numFmtId="165" fontId="10" fillId="0" borderId="0" xfId="22" applyNumberFormat="1" applyFont="1" applyBorder="1" applyAlignment="1" applyProtection="1">
      <alignment horizontal="center"/>
      <protection/>
    </xf>
    <xf numFmtId="0" fontId="4" fillId="0" borderId="0" xfId="0" applyFont="1" applyBorder="1" applyAlignment="1" applyProtection="1">
      <alignment horizontal="left"/>
      <protection/>
    </xf>
    <xf numFmtId="165" fontId="4" fillId="0" borderId="0" xfId="22" applyNumberFormat="1" applyFont="1" applyFill="1" applyBorder="1" applyAlignment="1" applyProtection="1">
      <alignment horizontal="center"/>
      <protection/>
    </xf>
    <xf numFmtId="167" fontId="4" fillId="0" borderId="0" xfId="22"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10" fillId="2" borderId="0" xfId="0" applyFont="1" applyFill="1" applyBorder="1" applyAlignment="1" applyProtection="1">
      <alignment horizontal="left"/>
      <protection/>
    </xf>
    <xf numFmtId="165" fontId="0" fillId="2" borderId="0" xfId="22" applyNumberFormat="1" applyFill="1" applyBorder="1" applyAlignment="1" applyProtection="1">
      <alignment horizontal="center"/>
      <protection/>
    </xf>
    <xf numFmtId="0" fontId="4" fillId="0" borderId="3" xfId="0" applyFont="1" applyBorder="1" applyAlignment="1" applyProtection="1">
      <alignment/>
      <protection/>
    </xf>
    <xf numFmtId="165" fontId="0" fillId="0" borderId="3" xfId="22" applyNumberFormat="1" applyBorder="1" applyAlignment="1" applyProtection="1">
      <alignment horizontal="center"/>
      <protection/>
    </xf>
    <xf numFmtId="172" fontId="10" fillId="0" borderId="7" xfId="19" applyNumberFormat="1" applyFont="1" applyFill="1" applyBorder="1" applyAlignment="1" applyProtection="1">
      <alignment horizontal="right"/>
      <protection/>
    </xf>
    <xf numFmtId="0" fontId="28"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3" xfId="0" applyFont="1" applyFill="1" applyBorder="1" applyAlignment="1" applyProtection="1">
      <alignment/>
      <protection/>
    </xf>
    <xf numFmtId="0" fontId="0" fillId="0" borderId="3" xfId="0" applyFont="1" applyFill="1" applyBorder="1" applyAlignment="1" applyProtection="1">
      <alignment/>
      <protection/>
    </xf>
    <xf numFmtId="0" fontId="13" fillId="0" borderId="3" xfId="0" applyFont="1" applyFill="1" applyBorder="1" applyAlignment="1" applyProtection="1">
      <alignment/>
      <protection/>
    </xf>
    <xf numFmtId="0" fontId="0" fillId="2" borderId="3" xfId="0" applyFont="1" applyFill="1" applyBorder="1" applyAlignment="1" applyProtection="1">
      <alignment/>
      <protection/>
    </xf>
    <xf numFmtId="0" fontId="13" fillId="0" borderId="7" xfId="16" applyFont="1" applyBorder="1" applyAlignment="1" applyProtection="1">
      <alignment/>
      <protection/>
    </xf>
    <xf numFmtId="0" fontId="13" fillId="0" borderId="7" xfId="16" applyFont="1" applyBorder="1" applyAlignment="1" applyProtection="1">
      <alignment horizontal="left"/>
      <protection/>
    </xf>
    <xf numFmtId="0" fontId="2" fillId="0" borderId="7" xfId="0" applyFont="1" applyFill="1" applyBorder="1" applyAlignment="1" applyProtection="1">
      <alignment horizontal="center"/>
      <protection/>
    </xf>
    <xf numFmtId="0" fontId="2" fillId="0" borderId="7" xfId="0" applyFont="1" applyBorder="1" applyAlignment="1" applyProtection="1">
      <alignment horizontal="center"/>
      <protection/>
    </xf>
    <xf numFmtId="0" fontId="54" fillId="2" borderId="0" xfId="0" applyFont="1" applyFill="1" applyBorder="1" applyAlignment="1" applyProtection="1">
      <alignment horizontal="center" vertical="center"/>
      <protection/>
    </xf>
    <xf numFmtId="0" fontId="0" fillId="0" borderId="0" xfId="21" applyFont="1" applyFill="1" applyBorder="1" applyAlignment="1" applyProtection="1">
      <alignment vertical="center"/>
      <protection locked="0"/>
    </xf>
    <xf numFmtId="0" fontId="0" fillId="0" borderId="4" xfId="21" applyFont="1" applyFill="1" applyBorder="1" applyAlignment="1" applyProtection="1">
      <alignment vertical="center"/>
      <protection locked="0"/>
    </xf>
    <xf numFmtId="0" fontId="0" fillId="0" borderId="33" xfId="21" applyFont="1" applyFill="1" applyBorder="1" applyAlignment="1" applyProtection="1">
      <alignment vertical="center"/>
      <protection/>
    </xf>
    <xf numFmtId="0" fontId="0" fillId="0" borderId="40" xfId="0" applyFont="1" applyBorder="1" applyAlignment="1" applyProtection="1">
      <alignment/>
      <protection/>
    </xf>
    <xf numFmtId="3" fontId="0" fillId="0" borderId="39" xfId="19" applyNumberFormat="1" applyFont="1" applyBorder="1" applyAlignment="1" applyProtection="1">
      <alignment horizontal="right"/>
      <protection/>
    </xf>
    <xf numFmtId="164" fontId="0" fillId="0" borderId="24" xfId="21" applyNumberFormat="1" applyFont="1" applyFill="1" applyBorder="1" applyAlignment="1" applyProtection="1">
      <alignment vertical="center"/>
      <protection/>
    </xf>
    <xf numFmtId="3" fontId="0" fillId="0" borderId="24" xfId="19" applyNumberFormat="1" applyFont="1" applyBorder="1" applyAlignment="1" applyProtection="1">
      <alignment horizontal="center"/>
      <protection/>
    </xf>
    <xf numFmtId="3" fontId="0" fillId="0" borderId="24" xfId="19" applyNumberFormat="1" applyFont="1" applyBorder="1" applyAlignment="1" applyProtection="1">
      <alignment horizontal="right"/>
      <protection/>
    </xf>
    <xf numFmtId="164" fontId="0" fillId="0" borderId="41" xfId="21" applyNumberFormat="1" applyFont="1" applyFill="1" applyBorder="1" applyAlignment="1" applyProtection="1">
      <alignment vertical="center"/>
      <protection/>
    </xf>
    <xf numFmtId="164" fontId="0" fillId="0" borderId="0" xfId="21" applyNumberFormat="1" applyFont="1" applyFill="1" applyBorder="1" applyAlignment="1" applyProtection="1">
      <alignment vertical="center"/>
      <protection/>
    </xf>
    <xf numFmtId="165" fontId="0" fillId="0" borderId="42" xfId="22" applyNumberFormat="1" applyFont="1" applyFill="1" applyBorder="1" applyAlignment="1" applyProtection="1">
      <alignment vertical="center"/>
      <protection/>
    </xf>
    <xf numFmtId="0" fontId="0" fillId="0" borderId="33" xfId="0" applyFont="1" applyBorder="1" applyAlignment="1" applyProtection="1">
      <alignment horizontal="left" indent="1"/>
      <protection/>
    </xf>
    <xf numFmtId="3" fontId="0" fillId="0" borderId="21" xfId="19" applyNumberFormat="1" applyFont="1" applyBorder="1" applyAlignment="1" applyProtection="1">
      <alignment horizontal="right"/>
      <protection/>
    </xf>
    <xf numFmtId="164" fontId="0" fillId="0" borderId="25" xfId="21" applyNumberFormat="1" applyFont="1" applyFill="1" applyBorder="1" applyAlignment="1" applyProtection="1">
      <alignment vertical="center"/>
      <protection/>
    </xf>
    <xf numFmtId="3" fontId="0" fillId="0" borderId="25" xfId="19" applyNumberFormat="1" applyFont="1" applyBorder="1" applyAlignment="1" applyProtection="1">
      <alignment horizontal="center"/>
      <protection/>
    </xf>
    <xf numFmtId="3" fontId="0" fillId="0" borderId="25" xfId="19" applyNumberFormat="1" applyFont="1" applyBorder="1" applyAlignment="1" applyProtection="1">
      <alignment horizontal="right"/>
      <protection/>
    </xf>
    <xf numFmtId="164" fontId="0" fillId="0" borderId="26" xfId="21" applyNumberFormat="1" applyFont="1" applyFill="1" applyBorder="1" applyAlignment="1" applyProtection="1">
      <alignment vertical="center"/>
      <protection/>
    </xf>
    <xf numFmtId="165" fontId="0" fillId="0" borderId="15" xfId="22" applyNumberFormat="1" applyFont="1" applyFill="1" applyBorder="1" applyAlignment="1" applyProtection="1">
      <alignment vertical="center"/>
      <protection/>
    </xf>
    <xf numFmtId="0" fontId="0" fillId="0" borderId="33" xfId="0" applyFont="1" applyBorder="1" applyAlignment="1" applyProtection="1">
      <alignment/>
      <protection/>
    </xf>
    <xf numFmtId="3" fontId="0" fillId="0" borderId="21" xfId="19" applyNumberFormat="1" applyFont="1" applyFill="1" applyBorder="1" applyAlignment="1" applyProtection="1">
      <alignment horizontal="right"/>
      <protection/>
    </xf>
    <xf numFmtId="3" fontId="0" fillId="0" borderId="25" xfId="19" applyNumberFormat="1" applyFont="1" applyFill="1" applyBorder="1" applyAlignment="1" applyProtection="1">
      <alignment horizontal="center"/>
      <protection/>
    </xf>
    <xf numFmtId="3" fontId="0" fillId="0" borderId="25" xfId="19" applyNumberFormat="1" applyFont="1" applyFill="1" applyBorder="1" applyAlignment="1" applyProtection="1">
      <alignment horizontal="right"/>
      <protection/>
    </xf>
    <xf numFmtId="164" fontId="0" fillId="0" borderId="21" xfId="21" applyNumberFormat="1" applyFont="1" applyFill="1" applyBorder="1" applyAlignment="1" applyProtection="1">
      <alignment vertical="center"/>
      <protection/>
    </xf>
    <xf numFmtId="164" fontId="0" fillId="0" borderId="27" xfId="21" applyNumberFormat="1" applyFont="1" applyFill="1" applyBorder="1" applyAlignment="1" applyProtection="1">
      <alignment vertical="center"/>
      <protection/>
    </xf>
    <xf numFmtId="166" fontId="1" fillId="0" borderId="27" xfId="19" applyNumberFormat="1" applyFont="1" applyFill="1" applyBorder="1" applyAlignment="1" applyProtection="1">
      <alignment horizontal="center"/>
      <protection/>
    </xf>
    <xf numFmtId="0" fontId="0" fillId="0" borderId="33" xfId="21" applyFont="1" applyBorder="1" applyAlignment="1" applyProtection="1">
      <alignment vertical="center"/>
      <protection/>
    </xf>
    <xf numFmtId="0" fontId="0" fillId="0" borderId="21" xfId="21" applyFont="1" applyBorder="1" applyAlignment="1" applyProtection="1">
      <alignment vertical="center"/>
      <protection/>
    </xf>
    <xf numFmtId="0" fontId="0" fillId="0" borderId="25" xfId="21" applyFont="1" applyBorder="1" applyAlignment="1" applyProtection="1">
      <alignment vertical="center"/>
      <protection/>
    </xf>
    <xf numFmtId="0" fontId="0" fillId="0" borderId="25" xfId="21" applyFont="1" applyBorder="1" applyAlignment="1" applyProtection="1">
      <alignment horizontal="center" vertical="center"/>
      <protection/>
    </xf>
    <xf numFmtId="0" fontId="0" fillId="0" borderId="14" xfId="21" applyFont="1" applyBorder="1" applyAlignment="1" applyProtection="1">
      <alignment vertical="center"/>
      <protection/>
    </xf>
    <xf numFmtId="0" fontId="0" fillId="0" borderId="15" xfId="21" applyFont="1" applyBorder="1" applyAlignment="1" applyProtection="1">
      <alignment vertical="center"/>
      <protection/>
    </xf>
    <xf numFmtId="0" fontId="0" fillId="0" borderId="43" xfId="21" applyFont="1" applyBorder="1" applyAlignment="1" applyProtection="1">
      <alignment vertical="center"/>
      <protection/>
    </xf>
    <xf numFmtId="0" fontId="0" fillId="0" borderId="4" xfId="21" applyFont="1" applyBorder="1" applyAlignment="1" applyProtection="1">
      <alignment vertical="center"/>
      <protection locked="0"/>
    </xf>
    <xf numFmtId="164" fontId="5" fillId="0" borderId="25" xfId="21" applyNumberFormat="1" applyFont="1" applyFill="1" applyBorder="1" applyAlignment="1" applyProtection="1">
      <alignment horizontal="center" vertical="center"/>
      <protection/>
    </xf>
    <xf numFmtId="164" fontId="0" fillId="0" borderId="23" xfId="21" applyNumberFormat="1" applyFont="1" applyFill="1" applyBorder="1" applyAlignment="1" applyProtection="1">
      <alignment vertical="center"/>
      <protection/>
    </xf>
    <xf numFmtId="164" fontId="0" fillId="0" borderId="24" xfId="21" applyNumberFormat="1" applyFont="1" applyFill="1" applyBorder="1" applyAlignment="1" applyProtection="1">
      <alignment horizontal="center" vertical="center"/>
      <protection/>
    </xf>
    <xf numFmtId="164" fontId="0" fillId="0" borderId="14" xfId="21" applyNumberFormat="1" applyFont="1" applyFill="1" applyBorder="1" applyAlignment="1" applyProtection="1">
      <alignment vertical="center"/>
      <protection/>
    </xf>
    <xf numFmtId="164" fontId="0" fillId="0" borderId="25" xfId="21" applyNumberFormat="1" applyFont="1" applyFill="1" applyBorder="1" applyAlignment="1" applyProtection="1">
      <alignment horizontal="center" vertical="center"/>
      <protection/>
    </xf>
    <xf numFmtId="0" fontId="0" fillId="0" borderId="25" xfId="21" applyFont="1" applyFill="1" applyBorder="1" applyAlignment="1" applyProtection="1">
      <alignment horizontal="left" vertical="center" indent="1"/>
      <protection/>
    </xf>
    <xf numFmtId="164" fontId="0" fillId="0" borderId="15" xfId="21" applyNumberFormat="1" applyFont="1" applyFill="1" applyBorder="1" applyAlignment="1" applyProtection="1">
      <alignment vertical="center"/>
      <protection/>
    </xf>
    <xf numFmtId="164" fontId="0" fillId="0" borderId="28" xfId="21" applyNumberFormat="1" applyFont="1" applyFill="1" applyBorder="1" applyAlignment="1" applyProtection="1">
      <alignment vertical="center"/>
      <protection/>
    </xf>
    <xf numFmtId="164" fontId="1" fillId="0" borderId="27" xfId="21" applyNumberFormat="1" applyFont="1" applyFill="1" applyBorder="1" applyAlignment="1" applyProtection="1">
      <alignment horizontal="center" vertical="center"/>
      <protection/>
    </xf>
    <xf numFmtId="0" fontId="0" fillId="0" borderId="33" xfId="21" applyFont="1" applyFill="1" applyBorder="1" applyAlignment="1" applyProtection="1">
      <alignment horizontal="left" vertical="center" indent="1"/>
      <protection/>
    </xf>
    <xf numFmtId="164" fontId="0" fillId="0" borderId="33" xfId="21" applyNumberFormat="1" applyFont="1" applyFill="1" applyBorder="1" applyAlignment="1" applyProtection="1">
      <alignment vertical="center"/>
      <protection/>
    </xf>
    <xf numFmtId="164" fontId="0" fillId="0" borderId="30" xfId="21" applyNumberFormat="1" applyFont="1" applyFill="1" applyBorder="1" applyAlignment="1" applyProtection="1">
      <alignment vertical="center"/>
      <protection/>
    </xf>
    <xf numFmtId="165" fontId="0" fillId="0" borderId="39" xfId="22" applyNumberFormat="1" applyFont="1" applyBorder="1" applyAlignment="1" applyProtection="1">
      <alignment horizontal="right"/>
      <protection/>
    </xf>
    <xf numFmtId="0" fontId="0" fillId="0" borderId="24" xfId="21" applyFont="1" applyFill="1" applyBorder="1" applyAlignment="1" applyProtection="1">
      <alignment horizontal="left" vertical="center" indent="1"/>
      <protection/>
    </xf>
    <xf numFmtId="165" fontId="0" fillId="0" borderId="24" xfId="22" applyNumberFormat="1" applyFont="1" applyBorder="1" applyAlignment="1" applyProtection="1">
      <alignment horizontal="right"/>
      <protection/>
    </xf>
    <xf numFmtId="167" fontId="0" fillId="0" borderId="42" xfId="21" applyNumberFormat="1" applyFont="1" applyFill="1" applyBorder="1" applyAlignment="1" applyProtection="1">
      <alignment vertical="center"/>
      <protection/>
    </xf>
    <xf numFmtId="165" fontId="0" fillId="0" borderId="21" xfId="22" applyNumberFormat="1" applyFont="1" applyBorder="1" applyAlignment="1" applyProtection="1">
      <alignment horizontal="right"/>
      <protection/>
    </xf>
    <xf numFmtId="165" fontId="0" fillId="0" borderId="25" xfId="22" applyNumberFormat="1" applyFont="1" applyBorder="1" applyAlignment="1" applyProtection="1">
      <alignment horizontal="right"/>
      <protection/>
    </xf>
    <xf numFmtId="167" fontId="0" fillId="0" borderId="15" xfId="21" applyNumberFormat="1" applyFont="1" applyFill="1" applyBorder="1" applyAlignment="1" applyProtection="1">
      <alignment vertical="center"/>
      <protection/>
    </xf>
    <xf numFmtId="164" fontId="1" fillId="0" borderId="25" xfId="21" applyNumberFormat="1" applyFont="1" applyFill="1" applyBorder="1" applyAlignment="1" applyProtection="1">
      <alignment horizontal="center" vertical="center"/>
      <protection/>
    </xf>
    <xf numFmtId="0" fontId="0" fillId="0" borderId="28" xfId="21" applyFont="1" applyFill="1" applyBorder="1" applyAlignment="1" applyProtection="1">
      <alignment vertical="center"/>
      <protection/>
    </xf>
    <xf numFmtId="0" fontId="0" fillId="0" borderId="27" xfId="21" applyFont="1" applyFill="1" applyBorder="1" applyAlignment="1" applyProtection="1">
      <alignment vertical="center"/>
      <protection/>
    </xf>
    <xf numFmtId="0" fontId="0" fillId="0" borderId="27" xfId="21" applyFont="1" applyFill="1" applyBorder="1" applyAlignment="1" applyProtection="1">
      <alignment horizontal="center" vertical="center"/>
      <protection/>
    </xf>
    <xf numFmtId="0" fontId="0" fillId="0" borderId="14" xfId="21" applyFont="1" applyFill="1" applyBorder="1" applyAlignment="1" applyProtection="1">
      <alignment vertical="center"/>
      <protection/>
    </xf>
    <xf numFmtId="167" fontId="0" fillId="0" borderId="31" xfId="21" applyNumberFormat="1" applyFont="1" applyFill="1" applyBorder="1" applyAlignment="1" applyProtection="1">
      <alignment vertical="center"/>
      <protection/>
    </xf>
    <xf numFmtId="0" fontId="0" fillId="0" borderId="25" xfId="21" applyFont="1" applyFill="1" applyBorder="1" applyAlignment="1" applyProtection="1">
      <alignment vertical="center"/>
      <protection/>
    </xf>
    <xf numFmtId="0" fontId="0" fillId="0" borderId="25" xfId="21" applyFont="1" applyFill="1" applyBorder="1" applyAlignment="1" applyProtection="1">
      <alignment horizontal="center" vertical="center"/>
      <protection/>
    </xf>
    <xf numFmtId="0" fontId="0" fillId="0" borderId="15" xfId="21" applyFont="1" applyFill="1" applyBorder="1" applyAlignment="1" applyProtection="1">
      <alignment vertical="center"/>
      <protection/>
    </xf>
    <xf numFmtId="164" fontId="0" fillId="0" borderId="39" xfId="21" applyNumberFormat="1" applyFont="1" applyFill="1" applyBorder="1" applyAlignment="1" applyProtection="1">
      <alignment vertical="center"/>
      <protection/>
    </xf>
    <xf numFmtId="165" fontId="0" fillId="0" borderId="15" xfId="22" applyNumberFormat="1" applyFont="1" applyFill="1" applyBorder="1" applyAlignment="1" applyProtection="1">
      <alignment horizontal="right" vertical="center"/>
      <protection/>
    </xf>
    <xf numFmtId="0" fontId="0" fillId="0" borderId="27" xfId="21" applyFont="1" applyFill="1" applyBorder="1" applyAlignment="1" applyProtection="1">
      <alignment horizontal="left" vertical="center" indent="1"/>
      <protection/>
    </xf>
    <xf numFmtId="164" fontId="0" fillId="0" borderId="27" xfId="21" applyNumberFormat="1" applyFont="1" applyFill="1" applyBorder="1" applyAlignment="1" applyProtection="1">
      <alignment horizontal="center" vertical="center"/>
      <protection/>
    </xf>
    <xf numFmtId="164" fontId="1" fillId="0" borderId="35" xfId="21" applyNumberFormat="1" applyFont="1" applyFill="1" applyBorder="1" applyAlignment="1" applyProtection="1">
      <alignment horizontal="center" vertical="center"/>
      <protection/>
    </xf>
    <xf numFmtId="164" fontId="0" fillId="0" borderId="0" xfId="21" applyNumberFormat="1" applyFont="1" applyFill="1" applyBorder="1" applyAlignment="1" applyProtection="1">
      <alignment horizontal="center" vertical="center"/>
      <protection/>
    </xf>
    <xf numFmtId="164" fontId="1" fillId="0" borderId="28" xfId="21" applyNumberFormat="1" applyFont="1" applyFill="1" applyBorder="1" applyAlignment="1" applyProtection="1">
      <alignment horizontal="center" vertical="center"/>
      <protection/>
    </xf>
    <xf numFmtId="164" fontId="1" fillId="0" borderId="0" xfId="21" applyNumberFormat="1" applyFont="1" applyFill="1" applyBorder="1" applyAlignment="1" applyProtection="1">
      <alignment horizontal="center" vertical="center"/>
      <protection/>
    </xf>
    <xf numFmtId="0" fontId="0" fillId="0" borderId="3" xfId="21" applyFont="1" applyBorder="1" applyAlignment="1" applyProtection="1">
      <alignment horizontal="center" vertical="center"/>
      <protection/>
    </xf>
    <xf numFmtId="0" fontId="0" fillId="0" borderId="0" xfId="21" applyFont="1" applyBorder="1" applyAlignment="1" applyProtection="1">
      <alignment horizontal="center" vertical="center"/>
      <protection/>
    </xf>
    <xf numFmtId="0" fontId="0" fillId="0" borderId="25" xfId="21" applyFont="1" applyFill="1" applyBorder="1" applyAlignment="1" applyProtection="1">
      <alignment horizontal="right" vertical="center" indent="1"/>
      <protection/>
    </xf>
    <xf numFmtId="164" fontId="0" fillId="0" borderId="24" xfId="21" applyNumberFormat="1" applyFont="1" applyFill="1" applyBorder="1" applyAlignment="1" applyProtection="1">
      <alignment horizontal="right" vertical="center"/>
      <protection/>
    </xf>
    <xf numFmtId="0" fontId="0" fillId="0" borderId="40" xfId="0" applyFont="1" applyFill="1" applyBorder="1" applyAlignment="1" applyProtection="1">
      <alignment/>
      <protection/>
    </xf>
    <xf numFmtId="165" fontId="0" fillId="0" borderId="39" xfId="22" applyNumberFormat="1" applyFont="1" applyFill="1" applyBorder="1" applyAlignment="1" applyProtection="1">
      <alignment horizontal="right"/>
      <protection/>
    </xf>
    <xf numFmtId="165" fontId="0" fillId="0" borderId="24" xfId="22" applyNumberFormat="1" applyFont="1" applyFill="1" applyBorder="1" applyAlignment="1" applyProtection="1">
      <alignment horizontal="right"/>
      <protection/>
    </xf>
    <xf numFmtId="0" fontId="0" fillId="0" borderId="4" xfId="21" applyFont="1" applyFill="1" applyBorder="1" applyAlignment="1" applyProtection="1">
      <alignment vertical="center"/>
      <protection locked="0"/>
    </xf>
    <xf numFmtId="0" fontId="0" fillId="0" borderId="0" xfId="21" applyFont="1" applyFill="1" applyAlignment="1" applyProtection="1">
      <alignment horizontal="center" vertical="center"/>
      <protection locked="0"/>
    </xf>
    <xf numFmtId="0" fontId="0" fillId="0" borderId="37" xfId="21" applyFont="1" applyBorder="1" applyAlignment="1" applyProtection="1">
      <alignment vertical="center"/>
      <protection/>
    </xf>
    <xf numFmtId="164" fontId="0" fillId="0" borderId="4" xfId="21" applyNumberFormat="1" applyFont="1" applyFill="1" applyBorder="1" applyAlignment="1" applyProtection="1">
      <alignment vertical="center"/>
      <protection/>
    </xf>
    <xf numFmtId="0" fontId="0" fillId="0" borderId="33" xfId="0" applyFont="1" applyFill="1" applyBorder="1" applyAlignment="1" applyProtection="1">
      <alignment/>
      <protection/>
    </xf>
    <xf numFmtId="0" fontId="0" fillId="0" borderId="37" xfId="21" applyFont="1" applyFill="1" applyBorder="1" applyAlignment="1" applyProtection="1">
      <alignment vertical="center"/>
      <protection/>
    </xf>
    <xf numFmtId="0" fontId="1" fillId="0" borderId="38" xfId="21" applyFont="1" applyFill="1" applyBorder="1" applyAlignment="1" applyProtection="1">
      <alignment vertical="center"/>
      <protection/>
    </xf>
    <xf numFmtId="0" fontId="1" fillId="0" borderId="0" xfId="21" applyFont="1" applyFill="1" applyBorder="1" applyAlignment="1" applyProtection="1">
      <alignment vertical="center"/>
      <protection/>
    </xf>
    <xf numFmtId="3" fontId="0" fillId="0" borderId="2" xfId="21" applyNumberFormat="1" applyFont="1" applyFill="1" applyBorder="1" applyAlignment="1" applyProtection="1">
      <alignment vertical="center"/>
      <protection/>
    </xf>
    <xf numFmtId="0" fontId="0" fillId="0" borderId="33" xfId="0" applyFont="1" applyFill="1" applyBorder="1" applyAlignment="1" applyProtection="1">
      <alignment/>
      <protection/>
    </xf>
    <xf numFmtId="0" fontId="0" fillId="0" borderId="25" xfId="21" applyFont="1" applyFill="1" applyBorder="1" applyAlignment="1" applyProtection="1">
      <alignment horizontal="left" vertical="center" indent="1"/>
      <protection/>
    </xf>
    <xf numFmtId="164" fontId="0" fillId="0" borderId="25" xfId="21" applyNumberFormat="1" applyFont="1" applyFill="1" applyBorder="1" applyAlignment="1" applyProtection="1">
      <alignment vertical="center"/>
      <protection/>
    </xf>
    <xf numFmtId="164" fontId="0" fillId="0" borderId="25" xfId="21" applyNumberFormat="1" applyFont="1" applyFill="1" applyBorder="1" applyAlignment="1" applyProtection="1">
      <alignment horizontal="center" vertical="center"/>
      <protection/>
    </xf>
    <xf numFmtId="165" fontId="0" fillId="0" borderId="15" xfId="22" applyNumberFormat="1" applyFont="1" applyFill="1" applyBorder="1" applyAlignment="1" applyProtection="1">
      <alignment vertical="center"/>
      <protection/>
    </xf>
    <xf numFmtId="164" fontId="0" fillId="0" borderId="14" xfId="21" applyNumberFormat="1" applyFont="1" applyFill="1" applyBorder="1" applyAlignment="1" applyProtection="1">
      <alignment vertical="center"/>
      <protection/>
    </xf>
    <xf numFmtId="3" fontId="0" fillId="0" borderId="21" xfId="19" applyNumberFormat="1" applyFont="1" applyFill="1" applyBorder="1" applyAlignment="1" applyProtection="1">
      <alignment horizontal="right"/>
      <protection/>
    </xf>
    <xf numFmtId="164" fontId="1" fillId="0" borderId="28" xfId="21" applyNumberFormat="1" applyFont="1" applyFill="1" applyBorder="1" applyAlignment="1" applyProtection="1">
      <alignment horizontal="center" vertical="center"/>
      <protection/>
    </xf>
    <xf numFmtId="164" fontId="1" fillId="0" borderId="0" xfId="21" applyNumberFormat="1" applyFont="1" applyFill="1" applyBorder="1" applyAlignment="1" applyProtection="1">
      <alignment horizontal="center" vertical="center"/>
      <protection/>
    </xf>
    <xf numFmtId="164" fontId="1" fillId="0" borderId="30" xfId="21" applyNumberFormat="1" applyFont="1" applyFill="1" applyBorder="1" applyAlignment="1" applyProtection="1">
      <alignment horizontal="center" vertical="center"/>
      <protection/>
    </xf>
    <xf numFmtId="0" fontId="25" fillId="0" borderId="2" xfId="0" applyFont="1" applyFill="1" applyBorder="1" applyAlignment="1" applyProtection="1">
      <alignment horizontal="center"/>
      <protection/>
    </xf>
    <xf numFmtId="0" fontId="25" fillId="0" borderId="4" xfId="0" applyFont="1" applyFill="1" applyBorder="1" applyAlignment="1" applyProtection="1">
      <alignment horizontal="center"/>
      <protection/>
    </xf>
    <xf numFmtId="3" fontId="1" fillId="0" borderId="30" xfId="19" applyNumberFormat="1" applyFont="1" applyFill="1" applyBorder="1" applyAlignment="1" applyProtection="1">
      <alignment horizontal="right"/>
      <protection/>
    </xf>
    <xf numFmtId="3" fontId="1" fillId="0" borderId="27" xfId="19" applyNumberFormat="1" applyFont="1" applyFill="1" applyBorder="1" applyAlignment="1" applyProtection="1">
      <alignment horizontal="right"/>
      <protection/>
    </xf>
    <xf numFmtId="3" fontId="0" fillId="0" borderId="25" xfId="19" applyNumberFormat="1" applyFont="1" applyFill="1" applyBorder="1" applyAlignment="1" applyProtection="1">
      <alignment horizontal="center"/>
      <protection/>
    </xf>
    <xf numFmtId="3" fontId="0" fillId="0" borderId="25" xfId="19" applyNumberFormat="1" applyFont="1" applyFill="1" applyBorder="1" applyAlignment="1" applyProtection="1">
      <alignment horizontal="right"/>
      <protection/>
    </xf>
    <xf numFmtId="164" fontId="0" fillId="0" borderId="26" xfId="21" applyNumberFormat="1" applyFont="1" applyFill="1" applyBorder="1" applyAlignment="1" applyProtection="1">
      <alignment vertical="center"/>
      <protection/>
    </xf>
    <xf numFmtId="0" fontId="1" fillId="0" borderId="18" xfId="0" applyFont="1" applyFill="1" applyBorder="1" applyAlignment="1" applyProtection="1">
      <alignment/>
      <protection/>
    </xf>
    <xf numFmtId="164" fontId="0" fillId="0" borderId="27" xfId="21" applyNumberFormat="1" applyFont="1" applyFill="1" applyBorder="1" applyAlignment="1" applyProtection="1">
      <alignment vertical="center"/>
      <protection/>
    </xf>
    <xf numFmtId="166" fontId="1" fillId="0" borderId="27" xfId="19" applyNumberFormat="1" applyFont="1" applyFill="1" applyBorder="1" applyAlignment="1" applyProtection="1">
      <alignment horizontal="right"/>
      <protection/>
    </xf>
    <xf numFmtId="166" fontId="1" fillId="0" borderId="27" xfId="19" applyNumberFormat="1" applyFont="1" applyFill="1" applyBorder="1" applyAlignment="1" applyProtection="1">
      <alignment horizontal="center"/>
      <protection/>
    </xf>
    <xf numFmtId="164" fontId="1" fillId="0" borderId="29" xfId="21" applyNumberFormat="1" applyFont="1" applyFill="1" applyBorder="1" applyAlignment="1" applyProtection="1">
      <alignment vertical="center"/>
      <protection/>
    </xf>
    <xf numFmtId="166" fontId="1" fillId="0" borderId="30" xfId="19" applyNumberFormat="1" applyFont="1" applyFill="1" applyBorder="1" applyAlignment="1" applyProtection="1">
      <alignment horizontal="right"/>
      <protection/>
    </xf>
    <xf numFmtId="165" fontId="1" fillId="0" borderId="32" xfId="22" applyNumberFormat="1" applyFont="1" applyFill="1" applyBorder="1" applyAlignment="1" applyProtection="1">
      <alignment vertical="center"/>
      <protection/>
    </xf>
    <xf numFmtId="164" fontId="0" fillId="0" borderId="15" xfId="21" applyNumberFormat="1" applyFont="1" applyFill="1" applyBorder="1" applyAlignment="1" applyProtection="1">
      <alignment vertical="center"/>
      <protection/>
    </xf>
    <xf numFmtId="0" fontId="0" fillId="0" borderId="40" xfId="0" applyFont="1" applyFill="1" applyBorder="1" applyAlignment="1" applyProtection="1">
      <alignment/>
      <protection/>
    </xf>
    <xf numFmtId="3" fontId="0" fillId="0" borderId="39" xfId="19" applyNumberFormat="1" applyFont="1" applyFill="1" applyBorder="1" applyAlignment="1" applyProtection="1">
      <alignment horizontal="right"/>
      <protection/>
    </xf>
    <xf numFmtId="164" fontId="0" fillId="0" borderId="23" xfId="21" applyNumberFormat="1" applyFont="1" applyFill="1" applyBorder="1" applyAlignment="1" applyProtection="1">
      <alignment vertical="center"/>
      <protection/>
    </xf>
    <xf numFmtId="164" fontId="0" fillId="0" borderId="24" xfId="21" applyNumberFormat="1" applyFont="1" applyFill="1" applyBorder="1" applyAlignment="1" applyProtection="1">
      <alignment vertical="center"/>
      <protection/>
    </xf>
    <xf numFmtId="164" fontId="0" fillId="0" borderId="24" xfId="21" applyNumberFormat="1" applyFont="1" applyFill="1" applyBorder="1" applyAlignment="1" applyProtection="1">
      <alignment horizontal="center" vertical="center"/>
      <protection/>
    </xf>
    <xf numFmtId="165" fontId="0" fillId="0" borderId="42" xfId="22" applyNumberFormat="1" applyFont="1" applyFill="1" applyBorder="1" applyAlignment="1" applyProtection="1">
      <alignment vertical="center"/>
      <protection/>
    </xf>
    <xf numFmtId="165" fontId="0" fillId="0" borderId="15" xfId="22" applyNumberFormat="1" applyFont="1" applyFill="1" applyBorder="1" applyAlignment="1" applyProtection="1">
      <alignment horizontal="right" vertical="center"/>
      <protection/>
    </xf>
    <xf numFmtId="0" fontId="0" fillId="0" borderId="44" xfId="21" applyFont="1" applyBorder="1" applyAlignment="1" applyProtection="1">
      <alignment vertical="center"/>
      <protection locked="0"/>
    </xf>
    <xf numFmtId="164" fontId="1" fillId="0" borderId="14" xfId="21" applyNumberFormat="1" applyFont="1" applyFill="1" applyBorder="1" applyAlignment="1" applyProtection="1">
      <alignment vertical="center"/>
      <protection/>
    </xf>
    <xf numFmtId="0" fontId="0" fillId="0" borderId="25" xfId="21" applyFont="1" applyFill="1" applyBorder="1" applyAlignment="1" applyProtection="1">
      <alignment horizontal="right" vertical="center" indent="1"/>
      <protection/>
    </xf>
    <xf numFmtId="165" fontId="0" fillId="0" borderId="0" xfId="22" applyNumberFormat="1" applyFont="1" applyFill="1" applyBorder="1" applyAlignment="1" applyProtection="1">
      <alignment vertical="center"/>
      <protection/>
    </xf>
    <xf numFmtId="164" fontId="0" fillId="0" borderId="28" xfId="21" applyNumberFormat="1" applyFont="1" applyFill="1" applyBorder="1" applyAlignment="1" applyProtection="1">
      <alignment vertical="center"/>
      <protection/>
    </xf>
    <xf numFmtId="164" fontId="0" fillId="0" borderId="0" xfId="21" applyNumberFormat="1" applyFont="1" applyFill="1" applyBorder="1" applyAlignment="1" applyProtection="1">
      <alignment horizontal="center" vertical="center"/>
      <protection/>
    </xf>
    <xf numFmtId="164" fontId="0" fillId="0" borderId="37" xfId="21" applyNumberFormat="1" applyFont="1" applyFill="1" applyBorder="1" applyAlignment="1" applyProtection="1">
      <alignment vertical="center"/>
      <protection/>
    </xf>
    <xf numFmtId="164" fontId="1" fillId="0" borderId="27" xfId="21" applyNumberFormat="1" applyFont="1" applyFill="1" applyBorder="1" applyAlignment="1" applyProtection="1">
      <alignment horizontal="center" vertical="center"/>
      <protection/>
    </xf>
    <xf numFmtId="164" fontId="0" fillId="0" borderId="21" xfId="21" applyNumberFormat="1" applyFont="1" applyFill="1" applyBorder="1" applyAlignment="1" applyProtection="1">
      <alignment horizontal="center" vertical="center"/>
      <protection/>
    </xf>
    <xf numFmtId="164" fontId="0" fillId="0" borderId="0" xfId="21" applyNumberFormat="1" applyFont="1" applyFill="1" applyBorder="1" applyAlignment="1" applyProtection="1">
      <alignment horizontal="right" vertical="center"/>
      <protection/>
    </xf>
    <xf numFmtId="164" fontId="0" fillId="0" borderId="21" xfId="21" applyNumberFormat="1" applyFont="1" applyFill="1" applyBorder="1" applyAlignment="1" applyProtection="1">
      <alignment horizontal="right" vertical="center"/>
      <protection/>
    </xf>
    <xf numFmtId="0" fontId="0" fillId="0" borderId="37" xfId="21" applyFont="1" applyFill="1" applyBorder="1" applyAlignment="1" applyProtection="1">
      <alignment vertical="center"/>
      <protection/>
    </xf>
    <xf numFmtId="0" fontId="0" fillId="0" borderId="44" xfId="21" applyFont="1" applyBorder="1" applyAlignment="1" applyProtection="1">
      <alignment vertical="center"/>
      <protection locked="0"/>
    </xf>
    <xf numFmtId="0" fontId="3" fillId="0" borderId="0" xfId="0" applyFont="1" applyBorder="1" applyAlignment="1" applyProtection="1">
      <alignment horizontal="center"/>
      <protection/>
    </xf>
    <xf numFmtId="165" fontId="13" fillId="2" borderId="0" xfId="22" applyNumberFormat="1" applyFont="1" applyFill="1" applyBorder="1" applyAlignment="1" applyProtection="1">
      <alignment horizontal="center"/>
      <protection/>
    </xf>
    <xf numFmtId="0" fontId="2"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0" fillId="0" borderId="0" xfId="0" applyFont="1" applyBorder="1" applyAlignment="1" applyProtection="1">
      <alignment/>
      <protection locked="0"/>
    </xf>
    <xf numFmtId="0" fontId="0" fillId="0" borderId="12" xfId="21" applyFont="1" applyBorder="1" applyAlignment="1" applyProtection="1">
      <alignment vertical="center"/>
      <protection/>
    </xf>
    <xf numFmtId="0" fontId="0" fillId="0" borderId="0" xfId="21" applyFont="1" applyFill="1" applyAlignment="1" applyProtection="1">
      <alignment vertical="center"/>
      <protection/>
    </xf>
    <xf numFmtId="3" fontId="0" fillId="0" borderId="39" xfId="19" applyNumberFormat="1" applyFont="1" applyFill="1" applyBorder="1" applyAlignment="1" applyProtection="1">
      <alignment horizontal="right"/>
      <protection/>
    </xf>
    <xf numFmtId="3" fontId="0" fillId="0" borderId="24" xfId="19" applyNumberFormat="1" applyFont="1" applyFill="1" applyBorder="1" applyAlignment="1" applyProtection="1">
      <alignment horizontal="center"/>
      <protection/>
    </xf>
    <xf numFmtId="3" fontId="0" fillId="0" borderId="24" xfId="19" applyNumberFormat="1" applyFont="1" applyFill="1" applyBorder="1" applyAlignment="1" applyProtection="1">
      <alignment horizontal="right"/>
      <protection/>
    </xf>
    <xf numFmtId="0" fontId="0" fillId="0" borderId="33" xfId="0" applyFont="1" applyFill="1" applyBorder="1" applyAlignment="1" applyProtection="1">
      <alignment horizontal="left" indent="1"/>
      <protection/>
    </xf>
    <xf numFmtId="166" fontId="1" fillId="0" borderId="27" xfId="19" applyNumberFormat="1" applyFont="1" applyFill="1" applyBorder="1" applyAlignment="1" applyProtection="1">
      <alignment/>
      <protection/>
    </xf>
    <xf numFmtId="164" fontId="0" fillId="0" borderId="25" xfId="21" applyNumberFormat="1" applyFont="1" applyFill="1" applyBorder="1" applyAlignment="1" applyProtection="1">
      <alignment horizontal="right" vertical="center"/>
      <protection/>
    </xf>
    <xf numFmtId="165" fontId="0" fillId="0" borderId="21" xfId="22" applyNumberFormat="1" applyFont="1" applyFill="1" applyBorder="1" applyAlignment="1" applyProtection="1">
      <alignment horizontal="right"/>
      <protection/>
    </xf>
    <xf numFmtId="165" fontId="1" fillId="0" borderId="30" xfId="22" applyNumberFormat="1" applyFont="1" applyFill="1" applyBorder="1" applyAlignment="1" applyProtection="1">
      <alignment horizontal="right"/>
      <protection/>
    </xf>
    <xf numFmtId="0" fontId="1" fillId="0" borderId="18" xfId="21" applyFont="1" applyFill="1" applyBorder="1" applyAlignment="1" applyProtection="1">
      <alignment horizontal="left" vertical="center"/>
      <protection/>
    </xf>
    <xf numFmtId="165" fontId="0" fillId="0" borderId="25" xfId="22" applyNumberFormat="1" applyFont="1" applyFill="1" applyBorder="1" applyAlignment="1" applyProtection="1">
      <alignment horizontal="right"/>
      <protection/>
    </xf>
    <xf numFmtId="165" fontId="1" fillId="0" borderId="27" xfId="22" applyNumberFormat="1" applyFont="1" applyFill="1" applyBorder="1" applyAlignment="1" applyProtection="1">
      <alignment horizontal="right"/>
      <protection/>
    </xf>
    <xf numFmtId="0" fontId="0" fillId="0" borderId="0" xfId="21" applyFont="1" applyFill="1" applyBorder="1" applyAlignment="1" applyProtection="1">
      <alignment horizontal="center" vertical="center"/>
      <protection/>
    </xf>
    <xf numFmtId="0" fontId="1" fillId="0" borderId="38" xfId="21" applyFont="1" applyFill="1" applyBorder="1" applyAlignment="1" applyProtection="1">
      <alignment vertical="center"/>
      <protection/>
    </xf>
    <xf numFmtId="0" fontId="2" fillId="0" borderId="0" xfId="0" applyFont="1" applyAlignment="1" applyProtection="1">
      <alignment/>
      <protection locked="0"/>
    </xf>
    <xf numFmtId="0" fontId="2" fillId="0" borderId="0" xfId="0" applyFont="1" applyFill="1" applyAlignment="1" applyProtection="1">
      <alignment/>
      <protection locked="0"/>
    </xf>
    <xf numFmtId="0" fontId="60" fillId="0"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4" fontId="2" fillId="0" borderId="0" xfId="0" applyNumberFormat="1" applyFont="1" applyAlignment="1" applyProtection="1">
      <alignment vertical="center"/>
      <protection locked="0"/>
    </xf>
    <xf numFmtId="0" fontId="10" fillId="0" borderId="0" xfId="0" applyFont="1" applyAlignment="1" applyProtection="1">
      <alignment/>
      <protection locked="0"/>
    </xf>
    <xf numFmtId="0" fontId="2" fillId="0" borderId="0" xfId="0" applyFont="1" applyBorder="1" applyAlignment="1" applyProtection="1">
      <alignment/>
      <protection locked="0"/>
    </xf>
    <xf numFmtId="0" fontId="10" fillId="0" borderId="0" xfId="0" applyFont="1" applyFill="1" applyAlignment="1" applyProtection="1">
      <alignment/>
      <protection locked="0"/>
    </xf>
    <xf numFmtId="164" fontId="2" fillId="0" borderId="0" xfId="0" applyNumberFormat="1" applyFont="1" applyFill="1" applyBorder="1" applyAlignment="1" applyProtection="1">
      <alignment vertical="center"/>
      <protection locked="0"/>
    </xf>
    <xf numFmtId="0" fontId="4" fillId="0" borderId="0" xfId="0" applyFont="1" applyAlignment="1" applyProtection="1">
      <alignment/>
      <protection locked="0"/>
    </xf>
    <xf numFmtId="0" fontId="61" fillId="0" borderId="0" xfId="0" applyFont="1" applyFill="1" applyAlignment="1" applyProtection="1">
      <alignment horizontal="right"/>
      <protection locked="0"/>
    </xf>
    <xf numFmtId="0" fontId="61" fillId="0" borderId="0" xfId="0" applyFont="1" applyFill="1" applyAlignment="1" applyProtection="1">
      <alignment wrapText="1"/>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0" fontId="2" fillId="0" borderId="2" xfId="0" applyFont="1" applyFill="1" applyBorder="1" applyAlignment="1" applyProtection="1">
      <alignment/>
      <protection/>
    </xf>
    <xf numFmtId="0" fontId="2" fillId="0" borderId="4" xfId="0" applyFont="1" applyFill="1" applyBorder="1" applyAlignment="1" applyProtection="1">
      <alignment/>
      <protection/>
    </xf>
    <xf numFmtId="0" fontId="2" fillId="0" borderId="2" xfId="0" applyFont="1" applyBorder="1" applyAlignment="1" applyProtection="1">
      <alignment/>
      <protection/>
    </xf>
    <xf numFmtId="0" fontId="2" fillId="0" borderId="4" xfId="0" applyFont="1" applyBorder="1" applyAlignment="1" applyProtection="1">
      <alignment/>
      <protection/>
    </xf>
    <xf numFmtId="164" fontId="2" fillId="0" borderId="2" xfId="0" applyNumberFormat="1" applyFont="1" applyBorder="1" applyAlignment="1" applyProtection="1">
      <alignment vertical="center"/>
      <protection/>
    </xf>
    <xf numFmtId="0" fontId="28" fillId="3" borderId="3" xfId="0" applyFont="1" applyFill="1" applyBorder="1" applyAlignment="1" applyProtection="1">
      <alignment horizontal="center" vertical="center"/>
      <protection/>
    </xf>
    <xf numFmtId="164" fontId="2" fillId="0" borderId="4" xfId="0" applyNumberFormat="1" applyFont="1" applyBorder="1" applyAlignment="1" applyProtection="1">
      <alignment vertical="center"/>
      <protection/>
    </xf>
    <xf numFmtId="0" fontId="10" fillId="0" borderId="2" xfId="0" applyFont="1" applyBorder="1" applyAlignment="1" applyProtection="1">
      <alignment/>
      <protection/>
    </xf>
    <xf numFmtId="0" fontId="10" fillId="2" borderId="0" xfId="0" applyFont="1" applyFill="1" applyBorder="1" applyAlignment="1" applyProtection="1">
      <alignment horizontal="right"/>
      <protection/>
    </xf>
    <xf numFmtId="0" fontId="10" fillId="0" borderId="4" xfId="0" applyFont="1" applyBorder="1" applyAlignment="1" applyProtection="1">
      <alignment/>
      <protection/>
    </xf>
    <xf numFmtId="172" fontId="2" fillId="2" borderId="0" xfId="19" applyNumberFormat="1" applyFont="1" applyFill="1" applyBorder="1" applyAlignment="1" applyProtection="1">
      <alignment horizontal="right"/>
      <protection/>
    </xf>
    <xf numFmtId="0" fontId="2" fillId="0" borderId="0" xfId="0" applyFont="1" applyFill="1" applyBorder="1" applyAlignment="1" applyProtection="1" quotePrefix="1">
      <alignment/>
      <protection/>
    </xf>
    <xf numFmtId="172" fontId="2" fillId="2" borderId="13" xfId="19" applyNumberFormat="1" applyFont="1" applyFill="1" applyBorder="1" applyAlignment="1" applyProtection="1">
      <alignment horizontal="right"/>
      <protection/>
    </xf>
    <xf numFmtId="0" fontId="2" fillId="2" borderId="0" xfId="0" applyFont="1" applyFill="1" applyBorder="1" applyAlignment="1" applyProtection="1">
      <alignment horizontal="right"/>
      <protection/>
    </xf>
    <xf numFmtId="0" fontId="2" fillId="0" borderId="0" xfId="0" applyFont="1" applyFill="1" applyBorder="1" applyAlignment="1" applyProtection="1" quotePrefix="1">
      <alignment wrapText="1"/>
      <protection/>
    </xf>
    <xf numFmtId="0" fontId="10" fillId="0" borderId="45" xfId="0" applyFont="1" applyFill="1" applyBorder="1" applyAlignment="1" applyProtection="1">
      <alignment horizontal="left"/>
      <protection/>
    </xf>
    <xf numFmtId="172" fontId="10" fillId="2" borderId="45" xfId="19" applyNumberFormat="1" applyFont="1" applyFill="1" applyBorder="1" applyAlignment="1" applyProtection="1">
      <alignment horizontal="right"/>
      <protection/>
    </xf>
    <xf numFmtId="0" fontId="10" fillId="0" borderId="2" xfId="0" applyFont="1" applyFill="1" applyBorder="1" applyAlignment="1" applyProtection="1">
      <alignment/>
      <protection/>
    </xf>
    <xf numFmtId="0" fontId="10" fillId="0" borderId="4" xfId="0" applyFont="1" applyFill="1" applyBorder="1" applyAlignment="1" applyProtection="1">
      <alignment/>
      <protection/>
    </xf>
    <xf numFmtId="0" fontId="10" fillId="0" borderId="0" xfId="0" applyFont="1" applyFill="1" applyBorder="1" applyAlignment="1" applyProtection="1">
      <alignment horizontal="left" wrapText="1"/>
      <protection/>
    </xf>
    <xf numFmtId="172" fontId="10" fillId="2" borderId="44" xfId="19" applyNumberFormat="1" applyFont="1" applyFill="1" applyBorder="1" applyAlignment="1" applyProtection="1">
      <alignment horizontal="right"/>
      <protection/>
    </xf>
    <xf numFmtId="172" fontId="10" fillId="2" borderId="45" xfId="0" applyNumberFormat="1" applyFont="1" applyFill="1" applyBorder="1" applyAlignment="1" applyProtection="1">
      <alignment horizontal="right"/>
      <protection/>
    </xf>
    <xf numFmtId="164" fontId="2" fillId="0" borderId="2" xfId="0" applyNumberFormat="1" applyFont="1" applyFill="1" applyBorder="1" applyAlignment="1" applyProtection="1">
      <alignment vertical="center"/>
      <protection/>
    </xf>
    <xf numFmtId="164" fontId="10" fillId="2" borderId="0" xfId="0" applyNumberFormat="1" applyFont="1" applyFill="1" applyBorder="1" applyAlignment="1" applyProtection="1">
      <alignment horizontal="center" vertical="center" wrapText="1"/>
      <protection/>
    </xf>
    <xf numFmtId="164" fontId="2" fillId="0" borderId="4" xfId="0" applyNumberFormat="1" applyFont="1" applyFill="1" applyBorder="1" applyAlignment="1" applyProtection="1">
      <alignment vertical="center"/>
      <protection/>
    </xf>
    <xf numFmtId="0" fontId="10" fillId="0" borderId="46" xfId="0" applyFont="1" applyFill="1" applyBorder="1" applyAlignment="1" applyProtection="1">
      <alignment/>
      <protection/>
    </xf>
    <xf numFmtId="164" fontId="10" fillId="2" borderId="46" xfId="0" applyNumberFormat="1" applyFont="1" applyFill="1" applyBorder="1" applyAlignment="1" applyProtection="1">
      <alignment horizontal="center" vertical="center" wrapText="1"/>
      <protection/>
    </xf>
    <xf numFmtId="0" fontId="10" fillId="2" borderId="0" xfId="0" applyFont="1" applyFill="1" applyBorder="1" applyAlignment="1" applyProtection="1">
      <alignment/>
      <protection/>
    </xf>
    <xf numFmtId="0" fontId="2" fillId="0" borderId="0" xfId="0" applyFont="1" applyBorder="1" applyAlignment="1" applyProtection="1" quotePrefix="1">
      <alignment/>
      <protection/>
    </xf>
    <xf numFmtId="172" fontId="2" fillId="2" borderId="0" xfId="19" applyNumberFormat="1" applyFont="1" applyFill="1" applyBorder="1" applyAlignment="1" applyProtection="1">
      <alignment/>
      <protection/>
    </xf>
    <xf numFmtId="0" fontId="14" fillId="0" borderId="0" xfId="0" applyFont="1" applyFill="1" applyBorder="1" applyAlignment="1" applyProtection="1">
      <alignment horizontal="right"/>
      <protection/>
    </xf>
    <xf numFmtId="172" fontId="4" fillId="2" borderId="0" xfId="19" applyNumberFormat="1" applyFont="1" applyFill="1" applyBorder="1" applyAlignment="1" applyProtection="1">
      <alignment horizontal="right"/>
      <protection/>
    </xf>
    <xf numFmtId="172" fontId="10" fillId="2" borderId="13" xfId="19" applyNumberFormat="1" applyFont="1" applyFill="1" applyBorder="1" applyAlignment="1" applyProtection="1">
      <alignment horizontal="right"/>
      <protection/>
    </xf>
    <xf numFmtId="0" fontId="4" fillId="0" borderId="2" xfId="0" applyFont="1" applyBorder="1" applyAlignment="1" applyProtection="1">
      <alignment/>
      <protection/>
    </xf>
    <xf numFmtId="172" fontId="10" fillId="2" borderId="0" xfId="19" applyNumberFormat="1" applyFont="1" applyFill="1" applyBorder="1" applyAlignment="1" applyProtection="1">
      <alignment horizontal="right"/>
      <protection/>
    </xf>
    <xf numFmtId="0" fontId="4" fillId="0" borderId="4" xfId="0" applyFont="1" applyBorder="1" applyAlignment="1" applyProtection="1">
      <alignment/>
      <protection/>
    </xf>
    <xf numFmtId="172" fontId="10" fillId="2" borderId="0" xfId="19" applyNumberFormat="1" applyFont="1" applyFill="1" applyBorder="1" applyAlignment="1" applyProtection="1">
      <alignment/>
      <protection/>
    </xf>
    <xf numFmtId="0" fontId="2" fillId="0" borderId="8" xfId="0" applyFont="1" applyBorder="1" applyAlignment="1" applyProtection="1">
      <alignment/>
      <protection/>
    </xf>
    <xf numFmtId="0" fontId="2" fillId="2" borderId="3" xfId="0" applyFont="1" applyFill="1" applyBorder="1" applyAlignment="1" applyProtection="1">
      <alignment/>
      <protection/>
    </xf>
    <xf numFmtId="0" fontId="2" fillId="0" borderId="9" xfId="0" applyFont="1" applyBorder="1" applyAlignment="1" applyProtection="1">
      <alignment/>
      <protection/>
    </xf>
    <xf numFmtId="164" fontId="2" fillId="0" borderId="0" xfId="0" applyNumberFormat="1" applyFont="1" applyBorder="1" applyAlignment="1" applyProtection="1">
      <alignment vertical="center"/>
      <protection locked="0"/>
    </xf>
    <xf numFmtId="0" fontId="2" fillId="2" borderId="0" xfId="0"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horizontal="right"/>
      <protection locked="0"/>
    </xf>
    <xf numFmtId="172" fontId="2" fillId="2" borderId="0" xfId="0" applyNumberFormat="1" applyFont="1" applyFill="1" applyBorder="1" applyAlignment="1" applyProtection="1">
      <alignment/>
      <protection locked="0"/>
    </xf>
    <xf numFmtId="172" fontId="10" fillId="0" borderId="0" xfId="0" applyNumberFormat="1" applyFont="1" applyFill="1" applyBorder="1" applyAlignment="1" applyProtection="1">
      <alignment/>
      <protection locked="0"/>
    </xf>
    <xf numFmtId="164" fontId="10" fillId="0" borderId="0" xfId="0" applyNumberFormat="1" applyFont="1" applyFill="1" applyBorder="1" applyAlignment="1" applyProtection="1">
      <alignment horizontal="center" vertical="center"/>
      <protection locked="0"/>
    </xf>
    <xf numFmtId="172" fontId="2" fillId="0" borderId="0" xfId="0" applyNumberFormat="1" applyFont="1" applyFill="1" applyBorder="1" applyAlignment="1" applyProtection="1">
      <alignment vertical="top"/>
      <protection locked="0"/>
    </xf>
    <xf numFmtId="172" fontId="10" fillId="0" borderId="0" xfId="0" applyNumberFormat="1" applyFont="1" applyFill="1" applyBorder="1" applyAlignment="1" applyProtection="1">
      <alignment vertical="top"/>
      <protection locked="0"/>
    </xf>
    <xf numFmtId="164" fontId="2" fillId="0" borderId="0" xfId="0" applyNumberFormat="1" applyFont="1" applyFill="1" applyBorder="1" applyAlignment="1" applyProtection="1">
      <alignment vertical="center" wrapText="1"/>
      <protection/>
    </xf>
    <xf numFmtId="0" fontId="28" fillId="3" borderId="0" xfId="0" applyFont="1" applyFill="1" applyBorder="1" applyAlignment="1" applyProtection="1">
      <alignment horizontal="center" vertical="center"/>
      <protection/>
    </xf>
    <xf numFmtId="0" fontId="10" fillId="0" borderId="0" xfId="0" applyFont="1" applyFill="1" applyBorder="1" applyAlignment="1" applyProtection="1">
      <alignment horizontal="right"/>
      <protection/>
    </xf>
    <xf numFmtId="164" fontId="10" fillId="0" borderId="0" xfId="0" applyNumberFormat="1" applyFont="1" applyFill="1" applyBorder="1" applyAlignment="1" applyProtection="1">
      <alignment horizontal="center" vertical="center" wrapText="1"/>
      <protection/>
    </xf>
    <xf numFmtId="172" fontId="2" fillId="0" borderId="0" xfId="0" applyNumberFormat="1" applyFont="1" applyFill="1" applyBorder="1" applyAlignment="1" applyProtection="1">
      <alignment/>
      <protection/>
    </xf>
    <xf numFmtId="172" fontId="2" fillId="0" borderId="0" xfId="0" applyNumberFormat="1" applyFont="1" applyFill="1" applyBorder="1" applyAlignment="1" applyProtection="1">
      <alignment horizontal="right"/>
      <protection/>
    </xf>
    <xf numFmtId="0" fontId="2" fillId="0" borderId="0" xfId="0" applyFont="1" applyFill="1" applyBorder="1" applyAlignment="1" applyProtection="1">
      <alignment wrapText="1"/>
      <protection/>
    </xf>
    <xf numFmtId="0" fontId="0" fillId="0" borderId="2" xfId="0" applyFont="1" applyFill="1" applyBorder="1" applyAlignment="1" applyProtection="1">
      <alignment horizontal="right"/>
      <protection/>
    </xf>
    <xf numFmtId="0" fontId="2" fillId="0" borderId="0" xfId="0" applyFont="1" applyFill="1" applyBorder="1" applyAlignment="1" applyProtection="1">
      <alignment horizontal="left" indent="2"/>
      <protection/>
    </xf>
    <xf numFmtId="0" fontId="10" fillId="0" borderId="13" xfId="0" applyFont="1" applyFill="1" applyBorder="1" applyAlignment="1" applyProtection="1">
      <alignment/>
      <protection/>
    </xf>
    <xf numFmtId="172" fontId="10" fillId="0" borderId="13" xfId="0" applyNumberFormat="1" applyFont="1" applyFill="1" applyBorder="1" applyAlignment="1" applyProtection="1">
      <alignment horizontal="right"/>
      <protection/>
    </xf>
    <xf numFmtId="0" fontId="4" fillId="0" borderId="0" xfId="0" applyFont="1" applyFill="1" applyBorder="1" applyAlignment="1" applyProtection="1">
      <alignment horizontal="left" indent="2"/>
      <protection/>
    </xf>
    <xf numFmtId="172" fontId="4" fillId="0" borderId="0" xfId="0" applyNumberFormat="1" applyFont="1" applyFill="1" applyBorder="1" applyAlignment="1" applyProtection="1">
      <alignment/>
      <protection/>
    </xf>
    <xf numFmtId="172" fontId="4" fillId="0" borderId="0" xfId="0" applyNumberFormat="1" applyFont="1" applyFill="1" applyBorder="1" applyAlignment="1" applyProtection="1">
      <alignment horizontal="right"/>
      <protection/>
    </xf>
    <xf numFmtId="172" fontId="59" fillId="0" borderId="0" xfId="0" applyNumberFormat="1" applyFont="1" applyFill="1" applyBorder="1" applyAlignment="1" applyProtection="1">
      <alignment/>
      <protection/>
    </xf>
    <xf numFmtId="172" fontId="59" fillId="0" borderId="0" xfId="0" applyNumberFormat="1" applyFont="1" applyFill="1" applyBorder="1" applyAlignment="1" applyProtection="1">
      <alignment horizontal="right"/>
      <protection/>
    </xf>
    <xf numFmtId="172" fontId="10" fillId="0" borderId="0" xfId="0" applyNumberFormat="1" applyFont="1" applyFill="1" applyBorder="1" applyAlignment="1" applyProtection="1">
      <alignment/>
      <protection/>
    </xf>
    <xf numFmtId="172" fontId="10" fillId="0" borderId="0" xfId="0" applyNumberFormat="1" applyFont="1" applyFill="1" applyBorder="1" applyAlignment="1" applyProtection="1">
      <alignment horizontal="right"/>
      <protection/>
    </xf>
    <xf numFmtId="172" fontId="10" fillId="0" borderId="13" xfId="0" applyNumberFormat="1" applyFont="1" applyFill="1" applyBorder="1" applyAlignment="1" applyProtection="1">
      <alignment/>
      <protection/>
    </xf>
    <xf numFmtId="172" fontId="10" fillId="0" borderId="7" xfId="0" applyNumberFormat="1" applyFont="1" applyFill="1" applyBorder="1" applyAlignment="1" applyProtection="1">
      <alignment/>
      <protection/>
    </xf>
    <xf numFmtId="172" fontId="10" fillId="0" borderId="3" xfId="0" applyNumberFormat="1" applyFont="1" applyFill="1" applyBorder="1" applyAlignment="1" applyProtection="1">
      <alignment horizontal="right"/>
      <protection/>
    </xf>
    <xf numFmtId="0" fontId="10" fillId="0" borderId="0" xfId="0" applyFont="1" applyFill="1" applyBorder="1" applyAlignment="1" applyProtection="1">
      <alignment wrapText="1"/>
      <protection/>
    </xf>
    <xf numFmtId="164" fontId="2" fillId="0" borderId="47" xfId="0" applyNumberFormat="1" applyFont="1" applyFill="1" applyBorder="1" applyAlignment="1" applyProtection="1">
      <alignment vertical="center" wrapText="1"/>
      <protection/>
    </xf>
    <xf numFmtId="0" fontId="28" fillId="3" borderId="47" xfId="0" applyFont="1" applyFill="1" applyBorder="1" applyAlignment="1" applyProtection="1">
      <alignment horizontal="center" vertical="center"/>
      <protection/>
    </xf>
    <xf numFmtId="0" fontId="2" fillId="0" borderId="3" xfId="0" applyFont="1" applyFill="1" applyBorder="1" applyAlignment="1" applyProtection="1">
      <alignment/>
      <protection/>
    </xf>
    <xf numFmtId="172" fontId="2" fillId="0" borderId="3" xfId="0" applyNumberFormat="1" applyFont="1" applyFill="1" applyBorder="1" applyAlignment="1" applyProtection="1">
      <alignment horizontal="right"/>
      <protection/>
    </xf>
    <xf numFmtId="0" fontId="2" fillId="0" borderId="0" xfId="0" applyFont="1" applyBorder="1" applyAlignment="1" applyProtection="1">
      <alignment wrapText="1"/>
      <protection/>
    </xf>
    <xf numFmtId="164" fontId="43" fillId="0" borderId="0" xfId="0" applyNumberFormat="1" applyFont="1" applyFill="1" applyBorder="1" applyAlignment="1" applyProtection="1">
      <alignment horizontal="center"/>
      <protection/>
    </xf>
    <xf numFmtId="172" fontId="10" fillId="0" borderId="0" xfId="0" applyNumberFormat="1" applyFont="1" applyBorder="1" applyAlignment="1" applyProtection="1">
      <alignment/>
      <protection/>
    </xf>
    <xf numFmtId="172" fontId="2" fillId="0" borderId="0" xfId="0" applyNumberFormat="1" applyFont="1" applyFill="1" applyBorder="1" applyAlignment="1" applyProtection="1">
      <alignment vertical="top"/>
      <protection/>
    </xf>
    <xf numFmtId="172" fontId="10" fillId="0" borderId="13" xfId="0" applyNumberFormat="1" applyFont="1" applyFill="1" applyBorder="1" applyAlignment="1" applyProtection="1">
      <alignment vertical="top"/>
      <protection/>
    </xf>
    <xf numFmtId="172" fontId="10" fillId="0" borderId="0" xfId="0" applyNumberFormat="1" applyFont="1" applyFill="1" applyBorder="1" applyAlignment="1" applyProtection="1">
      <alignment vertical="top"/>
      <protection/>
    </xf>
    <xf numFmtId="0" fontId="0" fillId="0" borderId="8" xfId="0" applyFont="1" applyFill="1" applyBorder="1" applyAlignment="1" applyProtection="1">
      <alignment horizontal="right"/>
      <protection/>
    </xf>
    <xf numFmtId="0" fontId="36" fillId="0" borderId="0" xfId="0" applyFont="1" applyBorder="1" applyAlignment="1" applyProtection="1">
      <alignment/>
      <protection/>
    </xf>
    <xf numFmtId="0" fontId="36" fillId="0" borderId="0" xfId="0" applyFont="1" applyAlignment="1" applyProtection="1">
      <alignment/>
      <protection/>
    </xf>
    <xf numFmtId="0" fontId="1" fillId="0" borderId="0" xfId="0" applyFont="1" applyBorder="1" applyAlignment="1" applyProtection="1">
      <alignment/>
      <protection/>
    </xf>
    <xf numFmtId="165" fontId="0" fillId="0" borderId="0" xfId="22" applyNumberFormat="1" applyBorder="1" applyAlignment="1" applyProtection="1">
      <alignment/>
      <protection/>
    </xf>
    <xf numFmtId="165" fontId="0" fillId="0" borderId="0" xfId="22" applyNumberFormat="1" applyAlignment="1" applyProtection="1">
      <alignment/>
      <protection/>
    </xf>
    <xf numFmtId="0" fontId="15" fillId="0" borderId="0" xfId="16" applyFont="1" applyBorder="1" applyAlignment="1" applyProtection="1">
      <alignment horizontal="center"/>
      <protection/>
    </xf>
    <xf numFmtId="0" fontId="7" fillId="0" borderId="0" xfId="0" applyFont="1" applyFill="1" applyBorder="1" applyAlignment="1" applyProtection="1">
      <alignment horizontal="center" vertical="center"/>
      <protection/>
    </xf>
    <xf numFmtId="0" fontId="11" fillId="0" borderId="0" xfId="0" applyFont="1" applyBorder="1" applyAlignment="1" applyProtection="1">
      <alignment/>
      <protection/>
    </xf>
    <xf numFmtId="0" fontId="6" fillId="3" borderId="44" xfId="21" applyNumberFormat="1" applyFont="1" applyFill="1" applyBorder="1" applyAlignment="1" applyProtection="1">
      <alignment horizontal="center" vertical="center" wrapText="1"/>
      <protection/>
    </xf>
    <xf numFmtId="0" fontId="10" fillId="0" borderId="7" xfId="0" applyFont="1" applyFill="1" applyBorder="1" applyAlignment="1" applyProtection="1">
      <alignment horizontal="center" vertical="center"/>
      <protection/>
    </xf>
    <xf numFmtId="0" fontId="3" fillId="0" borderId="7" xfId="0" applyFont="1" applyBorder="1" applyAlignment="1" applyProtection="1">
      <alignment horizontal="center"/>
      <protection/>
    </xf>
    <xf numFmtId="0" fontId="19" fillId="2" borderId="0" xfId="21" applyFont="1" applyFill="1" applyBorder="1" applyAlignment="1" applyProtection="1">
      <alignment horizontal="center" vertical="center"/>
      <protection/>
    </xf>
    <xf numFmtId="165" fontId="2" fillId="0" borderId="0" xfId="22" applyNumberFormat="1" applyFont="1" applyFill="1" applyBorder="1" applyAlignment="1" applyProtection="1">
      <alignment/>
      <protection/>
    </xf>
    <xf numFmtId="165" fontId="10" fillId="0" borderId="0" xfId="22" applyNumberFormat="1" applyFont="1" applyFill="1" applyBorder="1" applyAlignment="1" applyProtection="1">
      <alignment/>
      <protection/>
    </xf>
    <xf numFmtId="165" fontId="10" fillId="0" borderId="0" xfId="22" applyNumberFormat="1" applyFont="1" applyFill="1" applyBorder="1" applyAlignment="1" applyProtection="1">
      <alignment/>
      <protection/>
    </xf>
    <xf numFmtId="3" fontId="2" fillId="0" borderId="0" xfId="19" applyNumberFormat="1" applyFont="1" applyFill="1" applyBorder="1" applyAlignment="1" applyProtection="1">
      <alignment/>
      <protection/>
    </xf>
    <xf numFmtId="3" fontId="2" fillId="0" borderId="0" xfId="19" applyNumberFormat="1" applyFont="1" applyBorder="1" applyAlignment="1" applyProtection="1">
      <alignment/>
      <protection/>
    </xf>
    <xf numFmtId="166" fontId="10" fillId="0" borderId="0" xfId="19"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2" fillId="0" borderId="0" xfId="0" applyNumberFormat="1" applyFont="1" applyBorder="1" applyAlignment="1" applyProtection="1">
      <alignment/>
      <protection/>
    </xf>
    <xf numFmtId="3" fontId="10" fillId="0" borderId="0" xfId="19" applyNumberFormat="1" applyFont="1" applyFill="1" applyBorder="1" applyAlignment="1" applyProtection="1">
      <alignment/>
      <protection/>
    </xf>
    <xf numFmtId="165" fontId="2" fillId="0" borderId="0" xfId="22" applyNumberFormat="1" applyFont="1" applyBorder="1" applyAlignment="1" applyProtection="1">
      <alignment/>
      <protection/>
    </xf>
    <xf numFmtId="165" fontId="10" fillId="0" borderId="0" xfId="22" applyNumberFormat="1" applyFont="1" applyBorder="1" applyAlignment="1" applyProtection="1">
      <alignment/>
      <protection/>
    </xf>
    <xf numFmtId="3" fontId="2" fillId="0" borderId="7" xfId="0" applyNumberFormat="1" applyFont="1" applyBorder="1" applyAlignment="1" applyProtection="1">
      <alignment/>
      <protection/>
    </xf>
    <xf numFmtId="3" fontId="10" fillId="0" borderId="0" xfId="0" applyNumberFormat="1" applyFont="1" applyBorder="1" applyAlignment="1" applyProtection="1">
      <alignment/>
      <protection/>
    </xf>
    <xf numFmtId="165" fontId="2" fillId="0" borderId="0" xfId="22" applyNumberFormat="1" applyFont="1" applyFill="1" applyBorder="1" applyAlignment="1" applyProtection="1">
      <alignment/>
      <protection/>
    </xf>
    <xf numFmtId="0" fontId="17" fillId="2" borderId="0" xfId="21" applyFont="1" applyFill="1" applyBorder="1" applyAlignment="1" applyProtection="1">
      <alignment horizontal="center" vertical="center"/>
      <protection/>
    </xf>
    <xf numFmtId="0" fontId="17" fillId="2" borderId="0" xfId="21" applyFont="1" applyFill="1" applyBorder="1" applyAlignment="1" applyProtection="1">
      <alignment horizontal="center" vertical="center" wrapText="1"/>
      <protection/>
    </xf>
    <xf numFmtId="0" fontId="20" fillId="2" borderId="0" xfId="21" applyFont="1" applyFill="1" applyBorder="1" applyAlignment="1" applyProtection="1">
      <alignment vertical="center"/>
      <protection/>
    </xf>
    <xf numFmtId="164" fontId="20" fillId="2" borderId="0" xfId="21" applyNumberFormat="1" applyFont="1" applyFill="1" applyBorder="1" applyAlignment="1" applyProtection="1">
      <alignment vertical="center"/>
      <protection/>
    </xf>
    <xf numFmtId="0" fontId="1" fillId="2" borderId="0" xfId="21" applyNumberFormat="1" applyFont="1" applyFill="1" applyBorder="1" applyAlignment="1" applyProtection="1">
      <alignment horizontal="center" vertical="center" wrapText="1"/>
      <protection/>
    </xf>
    <xf numFmtId="0" fontId="0" fillId="2" borderId="0" xfId="21" applyFont="1" applyFill="1" applyBorder="1" applyAlignment="1" applyProtection="1">
      <alignment vertical="center"/>
      <protection/>
    </xf>
    <xf numFmtId="164" fontId="0" fillId="2" borderId="0" xfId="21" applyNumberFormat="1" applyFont="1" applyFill="1" applyBorder="1" applyAlignment="1" applyProtection="1">
      <alignment vertical="center"/>
      <protection/>
    </xf>
    <xf numFmtId="164" fontId="0" fillId="0" borderId="0" xfId="21" applyNumberFormat="1" applyFont="1" applyFill="1" applyBorder="1" applyAlignment="1" applyProtection="1">
      <alignment vertical="center"/>
      <protection/>
    </xf>
    <xf numFmtId="164" fontId="1" fillId="2" borderId="0" xfId="21" applyNumberFormat="1" applyFont="1" applyFill="1" applyBorder="1" applyAlignment="1" applyProtection="1">
      <alignment vertical="center"/>
      <protection/>
    </xf>
    <xf numFmtId="0" fontId="19" fillId="2" borderId="14" xfId="21" applyFont="1" applyFill="1" applyBorder="1" applyAlignment="1" applyProtection="1">
      <alignment horizontal="center" vertical="center"/>
      <protection/>
    </xf>
    <xf numFmtId="164" fontId="1" fillId="2" borderId="33" xfId="21" applyNumberFormat="1" applyFont="1" applyFill="1" applyBorder="1" applyAlignment="1" applyProtection="1">
      <alignment vertical="center"/>
      <protection/>
    </xf>
    <xf numFmtId="3" fontId="0" fillId="0" borderId="41" xfId="19" applyNumberFormat="1" applyFont="1" applyBorder="1" applyAlignment="1" applyProtection="1">
      <alignment horizontal="right"/>
      <protection/>
    </xf>
    <xf numFmtId="3" fontId="0" fillId="0" borderId="26" xfId="19" applyNumberFormat="1" applyFont="1" applyBorder="1" applyAlignment="1" applyProtection="1">
      <alignment horizontal="right"/>
      <protection/>
    </xf>
    <xf numFmtId="3" fontId="0" fillId="0" borderId="26" xfId="19" applyNumberFormat="1" applyFont="1" applyFill="1" applyBorder="1" applyAlignment="1" applyProtection="1">
      <alignment horizontal="right"/>
      <protection/>
    </xf>
    <xf numFmtId="166" fontId="1" fillId="0" borderId="29" xfId="19" applyNumberFormat="1" applyFont="1" applyFill="1" applyBorder="1" applyAlignment="1" applyProtection="1">
      <alignment horizontal="right"/>
      <protection/>
    </xf>
    <xf numFmtId="0" fontId="0" fillId="0" borderId="26" xfId="21" applyFont="1" applyBorder="1" applyAlignment="1" applyProtection="1">
      <alignment vertical="center"/>
      <protection/>
    </xf>
    <xf numFmtId="164" fontId="5" fillId="0" borderId="26" xfId="21" applyNumberFormat="1" applyFont="1" applyFill="1" applyBorder="1" applyAlignment="1" applyProtection="1">
      <alignment vertical="center"/>
      <protection/>
    </xf>
    <xf numFmtId="165" fontId="0" fillId="0" borderId="41" xfId="22" applyNumberFormat="1" applyFont="1" applyBorder="1" applyAlignment="1" applyProtection="1">
      <alignment horizontal="right"/>
      <protection/>
    </xf>
    <xf numFmtId="165" fontId="0" fillId="0" borderId="26" xfId="22" applyNumberFormat="1" applyFont="1" applyBorder="1" applyAlignment="1" applyProtection="1">
      <alignment horizontal="right"/>
      <protection/>
    </xf>
    <xf numFmtId="165" fontId="1" fillId="0" borderId="29" xfId="22" applyNumberFormat="1" applyFont="1" applyBorder="1" applyAlignment="1" applyProtection="1">
      <alignment horizontal="right"/>
      <protection/>
    </xf>
    <xf numFmtId="0" fontId="0" fillId="0" borderId="26" xfId="21" applyFont="1" applyFill="1" applyBorder="1" applyAlignment="1" applyProtection="1">
      <alignment vertical="center"/>
      <protection/>
    </xf>
    <xf numFmtId="165" fontId="0" fillId="0" borderId="41" xfId="22" applyNumberFormat="1" applyFont="1" applyFill="1" applyBorder="1" applyAlignment="1" applyProtection="1">
      <alignment horizontal="right"/>
      <protection/>
    </xf>
    <xf numFmtId="0" fontId="52" fillId="2" borderId="16" xfId="0" applyFont="1" applyFill="1" applyBorder="1" applyAlignment="1" applyProtection="1">
      <alignment horizontal="center" vertical="center" wrapText="1"/>
      <protection/>
    </xf>
    <xf numFmtId="0" fontId="19" fillId="2" borderId="15" xfId="21" applyFont="1" applyFill="1" applyBorder="1" applyAlignment="1" applyProtection="1">
      <alignment horizontal="center" vertical="center"/>
      <protection/>
    </xf>
    <xf numFmtId="164" fontId="0" fillId="2" borderId="15" xfId="21" applyNumberFormat="1" applyFont="1" applyFill="1" applyBorder="1" applyAlignment="1" applyProtection="1">
      <alignment vertical="center"/>
      <protection/>
    </xf>
    <xf numFmtId="165" fontId="0" fillId="0" borderId="15" xfId="22" applyNumberFormat="1" applyFont="1" applyFill="1" applyBorder="1" applyAlignment="1" applyProtection="1">
      <alignment vertical="center"/>
      <protection/>
    </xf>
    <xf numFmtId="0" fontId="0" fillId="2" borderId="15" xfId="21" applyFont="1" applyFill="1" applyBorder="1" applyAlignment="1" applyProtection="1">
      <alignment vertical="center"/>
      <protection/>
    </xf>
    <xf numFmtId="165" fontId="0" fillId="2" borderId="15" xfId="22" applyNumberFormat="1" applyFont="1" applyFill="1" applyBorder="1" applyAlignment="1" applyProtection="1">
      <alignment vertical="center"/>
      <protection/>
    </xf>
    <xf numFmtId="167" fontId="0" fillId="2" borderId="15" xfId="21" applyNumberFormat="1" applyFont="1" applyFill="1" applyBorder="1" applyAlignment="1" applyProtection="1">
      <alignment vertical="center"/>
      <protection/>
    </xf>
    <xf numFmtId="164" fontId="1" fillId="2" borderId="32" xfId="21" applyNumberFormat="1" applyFont="1" applyFill="1" applyBorder="1" applyAlignment="1" applyProtection="1">
      <alignment vertical="center"/>
      <protection/>
    </xf>
    <xf numFmtId="0" fontId="6" fillId="3" borderId="48" xfId="21" applyNumberFormat="1" applyFont="1" applyFill="1" applyBorder="1" applyAlignment="1" applyProtection="1">
      <alignment horizontal="center" vertical="center" wrapText="1"/>
      <protection/>
    </xf>
    <xf numFmtId="0" fontId="1" fillId="2" borderId="42" xfId="21" applyNumberFormat="1" applyFont="1" applyFill="1" applyBorder="1" applyAlignment="1" applyProtection="1">
      <alignment horizontal="center" vertical="center" wrapText="1"/>
      <protection/>
    </xf>
    <xf numFmtId="164" fontId="0" fillId="2" borderId="31" xfId="21" applyNumberFormat="1" applyFont="1" applyFill="1" applyBorder="1" applyAlignment="1" applyProtection="1">
      <alignment vertical="center"/>
      <protection/>
    </xf>
    <xf numFmtId="165" fontId="0" fillId="0" borderId="42" xfId="22" applyNumberFormat="1" applyFont="1" applyFill="1" applyBorder="1" applyAlignment="1" applyProtection="1">
      <alignment vertical="center"/>
      <protection/>
    </xf>
    <xf numFmtId="165" fontId="1" fillId="2" borderId="31" xfId="22" applyNumberFormat="1" applyFont="1" applyFill="1" applyBorder="1" applyAlignment="1" applyProtection="1">
      <alignment vertical="center"/>
      <protection/>
    </xf>
    <xf numFmtId="0" fontId="0" fillId="0" borderId="7" xfId="21" applyFont="1" applyBorder="1" applyAlignment="1" applyProtection="1">
      <alignment horizontal="center" vertical="center"/>
      <protection/>
    </xf>
    <xf numFmtId="164" fontId="0" fillId="0" borderId="7" xfId="21" applyNumberFormat="1" applyFont="1" applyFill="1" applyBorder="1" applyAlignment="1" applyProtection="1">
      <alignment vertical="center"/>
      <protection/>
    </xf>
    <xf numFmtId="0" fontId="0" fillId="0" borderId="7" xfId="21" applyFont="1" applyBorder="1" applyAlignment="1" applyProtection="1">
      <alignment vertical="center"/>
      <protection/>
    </xf>
    <xf numFmtId="167" fontId="0" fillId="2" borderId="42" xfId="21" applyNumberFormat="1" applyFont="1" applyFill="1" applyBorder="1" applyAlignment="1" applyProtection="1">
      <alignment vertical="center"/>
      <protection/>
    </xf>
    <xf numFmtId="165" fontId="0" fillId="2" borderId="42" xfId="22" applyNumberFormat="1" applyFont="1" applyFill="1" applyBorder="1" applyAlignment="1" applyProtection="1">
      <alignment vertical="center"/>
      <protection/>
    </xf>
    <xf numFmtId="3" fontId="0" fillId="0" borderId="26" xfId="19" applyNumberFormat="1" applyFont="1" applyFill="1" applyBorder="1" applyAlignment="1" applyProtection="1">
      <alignment horizontal="right"/>
      <protection/>
    </xf>
    <xf numFmtId="166" fontId="1" fillId="0" borderId="29" xfId="19" applyNumberFormat="1" applyFont="1" applyFill="1" applyBorder="1" applyAlignment="1" applyProtection="1">
      <alignment horizontal="right"/>
      <protection/>
    </xf>
    <xf numFmtId="164" fontId="0" fillId="0" borderId="41" xfId="21" applyNumberFormat="1" applyFont="1" applyFill="1" applyBorder="1" applyAlignment="1" applyProtection="1">
      <alignment vertical="center"/>
      <protection/>
    </xf>
    <xf numFmtId="0" fontId="28" fillId="4" borderId="49" xfId="0" applyFont="1" applyFill="1" applyBorder="1" applyAlignment="1" applyProtection="1">
      <alignment horizontal="center" vertical="center"/>
      <protection/>
    </xf>
    <xf numFmtId="165" fontId="13" fillId="0" borderId="0" xfId="22" applyNumberFormat="1" applyFont="1" applyFill="1" applyBorder="1" applyAlignment="1" applyProtection="1">
      <alignment horizontal="center"/>
      <protection/>
    </xf>
    <xf numFmtId="167"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0" fillId="0" borderId="37" xfId="21" applyFont="1" applyFill="1" applyBorder="1" applyAlignment="1" applyProtection="1">
      <alignment horizontal="left" vertical="center"/>
      <protection/>
    </xf>
    <xf numFmtId="0" fontId="6" fillId="3" borderId="23" xfId="21" applyFont="1" applyFill="1" applyBorder="1" applyAlignment="1" applyProtection="1">
      <alignment vertical="center"/>
      <protection/>
    </xf>
    <xf numFmtId="164" fontId="0" fillId="0" borderId="21" xfId="21" applyNumberFormat="1" applyFont="1" applyFill="1" applyBorder="1" applyAlignment="1" applyProtection="1">
      <alignment horizontal="center" vertical="center"/>
      <protection/>
    </xf>
    <xf numFmtId="164" fontId="1" fillId="0" borderId="30" xfId="21" applyNumberFormat="1" applyFont="1" applyFill="1" applyBorder="1" applyAlignment="1" applyProtection="1">
      <alignment horizontal="center" vertical="center"/>
      <protection/>
    </xf>
    <xf numFmtId="0" fontId="6" fillId="3" borderId="22" xfId="21" applyFont="1" applyFill="1" applyBorder="1" applyAlignment="1" applyProtection="1">
      <alignment vertical="center" wrapText="1"/>
      <protection/>
    </xf>
    <xf numFmtId="0" fontId="6" fillId="3" borderId="23" xfId="21" applyFont="1" applyFill="1" applyBorder="1" applyAlignment="1" applyProtection="1">
      <alignment vertical="center" wrapText="1"/>
      <protection/>
    </xf>
    <xf numFmtId="0" fontId="0" fillId="0" borderId="21" xfId="21" applyFont="1" applyBorder="1" applyAlignment="1" applyProtection="1">
      <alignment vertical="center"/>
      <protection/>
    </xf>
    <xf numFmtId="0" fontId="0" fillId="0" borderId="2" xfId="21" applyFont="1" applyBorder="1" applyAlignment="1" applyProtection="1">
      <alignment vertical="center"/>
      <protection locked="0"/>
    </xf>
    <xf numFmtId="167" fontId="1" fillId="2" borderId="31" xfId="21" applyNumberFormat="1" applyFont="1" applyFill="1" applyBorder="1" applyAlignment="1" applyProtection="1">
      <alignment vertical="center"/>
      <protection/>
    </xf>
    <xf numFmtId="0" fontId="1" fillId="2" borderId="0" xfId="21"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3" fillId="0" borderId="0" xfId="0" applyFont="1" applyFill="1" applyBorder="1" applyAlignment="1" applyProtection="1">
      <alignment horizontal="center"/>
      <protection/>
    </xf>
    <xf numFmtId="0" fontId="2" fillId="0" borderId="0" xfId="0" applyFont="1" applyFill="1" applyBorder="1" applyAlignment="1" applyProtection="1">
      <alignment horizontal="left" indent="1"/>
      <protection/>
    </xf>
    <xf numFmtId="167" fontId="13" fillId="0" borderId="0" xfId="0" applyNumberFormat="1" applyFont="1" applyFill="1" applyBorder="1" applyAlignment="1" applyProtection="1" quotePrefix="1">
      <alignment horizontal="center"/>
      <protection/>
    </xf>
    <xf numFmtId="0" fontId="13" fillId="0" borderId="0" xfId="19" applyNumberFormat="1" applyFont="1" applyFill="1" applyBorder="1" applyAlignment="1" applyProtection="1">
      <alignment horizontal="center"/>
      <protection/>
    </xf>
    <xf numFmtId="169" fontId="13" fillId="0" borderId="0" xfId="19" applyNumberFormat="1" applyFont="1" applyFill="1" applyBorder="1" applyAlignment="1" applyProtection="1">
      <alignment horizontal="center"/>
      <protection/>
    </xf>
    <xf numFmtId="165" fontId="13" fillId="0" borderId="4" xfId="22" applyNumberFormat="1" applyFont="1" applyFill="1" applyBorder="1" applyAlignment="1" applyProtection="1">
      <alignment horizontal="center"/>
      <protection/>
    </xf>
    <xf numFmtId="3" fontId="10" fillId="0" borderId="0" xfId="0" applyNumberFormat="1" applyFont="1" applyFill="1" applyBorder="1" applyAlignment="1" applyProtection="1">
      <alignment horizontal="right"/>
      <protection/>
    </xf>
    <xf numFmtId="164" fontId="10" fillId="0" borderId="0" xfId="0" applyNumberFormat="1" applyFont="1" applyFill="1" applyBorder="1" applyAlignment="1" applyProtection="1">
      <alignment horizontal="right"/>
      <protection/>
    </xf>
    <xf numFmtId="9" fontId="10" fillId="0" borderId="0" xfId="22" applyFont="1" applyFill="1" applyBorder="1" applyAlignment="1" applyProtection="1">
      <alignment horizontal="right"/>
      <protection/>
    </xf>
    <xf numFmtId="0" fontId="0" fillId="0" borderId="3" xfId="0" applyFont="1" applyFill="1" applyBorder="1" applyAlignment="1" applyProtection="1">
      <alignment horizontal="right"/>
      <protection/>
    </xf>
    <xf numFmtId="0" fontId="2" fillId="0" borderId="7" xfId="0" applyFont="1" applyFill="1" applyBorder="1" applyAlignment="1" applyProtection="1">
      <alignment/>
      <protection/>
    </xf>
    <xf numFmtId="0" fontId="11" fillId="0" borderId="3" xfId="0" applyFont="1" applyFill="1" applyBorder="1" applyAlignment="1" applyProtection="1">
      <alignment vertical="center"/>
      <protection/>
    </xf>
    <xf numFmtId="164" fontId="2" fillId="0" borderId="7" xfId="0" applyNumberFormat="1" applyFont="1" applyFill="1" applyBorder="1" applyAlignment="1" applyProtection="1">
      <alignment horizontal="right"/>
      <protection/>
    </xf>
    <xf numFmtId="164" fontId="10" fillId="0" borderId="0" xfId="0" applyNumberFormat="1" applyFont="1" applyFill="1" applyBorder="1" applyAlignment="1" applyProtection="1">
      <alignment horizontal="right"/>
      <protection/>
    </xf>
    <xf numFmtId="0" fontId="11" fillId="0" borderId="0" xfId="0" applyFont="1" applyFill="1" applyBorder="1" applyAlignment="1" applyProtection="1">
      <alignment vertical="center"/>
      <protection/>
    </xf>
    <xf numFmtId="165" fontId="10" fillId="0" borderId="0" xfId="22" applyNumberFormat="1" applyFont="1" applyFill="1" applyAlignment="1" applyProtection="1">
      <alignment horizontal="right"/>
      <protection/>
    </xf>
    <xf numFmtId="0" fontId="0" fillId="0" borderId="2" xfId="21" applyFont="1" applyFill="1" applyBorder="1" applyAlignment="1" applyProtection="1">
      <alignment vertical="center"/>
      <protection locked="0"/>
    </xf>
    <xf numFmtId="0" fontId="0" fillId="0" borderId="2" xfId="21" applyFont="1" applyBorder="1" applyAlignment="1" applyProtection="1">
      <alignment vertical="center"/>
      <protection locked="0"/>
    </xf>
    <xf numFmtId="0" fontId="0" fillId="0" borderId="2" xfId="21"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0" fontId="36" fillId="0" borderId="0" xfId="0" applyFont="1" applyFill="1" applyBorder="1" applyAlignment="1" applyProtection="1">
      <alignment/>
      <protection locked="0"/>
    </xf>
    <xf numFmtId="0" fontId="0" fillId="0" borderId="0" xfId="16" applyFont="1" applyFill="1" applyBorder="1" applyAlignment="1" applyProtection="1">
      <alignment/>
      <protection locked="0"/>
    </xf>
    <xf numFmtId="0" fontId="0" fillId="0" borderId="0" xfId="16" applyFont="1" applyFill="1" applyBorder="1" applyAlignment="1" applyProtection="1">
      <alignment/>
      <protection locked="0"/>
    </xf>
    <xf numFmtId="0" fontId="0" fillId="0" borderId="21" xfId="21" applyFont="1" applyFill="1" applyBorder="1" applyAlignment="1" applyProtection="1">
      <alignment vertical="center"/>
      <protection/>
    </xf>
    <xf numFmtId="0" fontId="0" fillId="0" borderId="28" xfId="21" applyFont="1" applyBorder="1" applyAlignment="1" applyProtection="1">
      <alignment vertical="center"/>
      <protection/>
    </xf>
    <xf numFmtId="0" fontId="1" fillId="0" borderId="30" xfId="21" applyFont="1" applyFill="1" applyBorder="1" applyAlignment="1" applyProtection="1">
      <alignment vertical="center"/>
      <protection/>
    </xf>
    <xf numFmtId="0" fontId="0" fillId="0" borderId="21" xfId="21" applyFont="1" applyFill="1" applyBorder="1" applyAlignment="1" applyProtection="1">
      <alignment horizontal="center" vertical="center"/>
      <protection/>
    </xf>
    <xf numFmtId="0" fontId="0" fillId="0" borderId="3" xfId="21" applyFont="1" applyFill="1" applyBorder="1" applyAlignment="1" applyProtection="1">
      <alignment horizontal="center" vertical="center"/>
      <protection/>
    </xf>
    <xf numFmtId="0" fontId="47" fillId="0" borderId="24" xfId="21" applyNumberFormat="1" applyFont="1" applyFill="1" applyBorder="1" applyAlignment="1" applyProtection="1">
      <alignment horizontal="center" vertical="center" wrapText="1"/>
      <protection/>
    </xf>
    <xf numFmtId="164" fontId="0" fillId="0" borderId="4" xfId="21" applyNumberFormat="1" applyFont="1" applyBorder="1" applyAlignment="1" applyProtection="1">
      <alignment vertical="center"/>
      <protection/>
    </xf>
    <xf numFmtId="164" fontId="1" fillId="0" borderId="15" xfId="21" applyNumberFormat="1" applyFont="1" applyFill="1" applyBorder="1" applyAlignment="1" applyProtection="1">
      <alignment vertical="center"/>
      <protection/>
    </xf>
    <xf numFmtId="164" fontId="42" fillId="0" borderId="0" xfId="21" applyNumberFormat="1" applyFont="1" applyFill="1" applyBorder="1" applyAlignment="1" applyProtection="1">
      <alignment vertical="center"/>
      <protection/>
    </xf>
    <xf numFmtId="0" fontId="6" fillId="3" borderId="22" xfId="21" applyFont="1" applyFill="1" applyBorder="1" applyAlignment="1" applyProtection="1">
      <alignment horizontal="left" vertical="center"/>
      <protection/>
    </xf>
    <xf numFmtId="0" fontId="6" fillId="3" borderId="23" xfId="21" applyFont="1" applyFill="1" applyBorder="1" applyAlignment="1" applyProtection="1">
      <alignment horizontal="left" vertical="center"/>
      <protection/>
    </xf>
    <xf numFmtId="164" fontId="6" fillId="3" borderId="23" xfId="21" applyNumberFormat="1" applyFont="1" applyFill="1" applyBorder="1" applyAlignment="1" applyProtection="1">
      <alignment horizontal="center" vertical="center"/>
      <protection/>
    </xf>
    <xf numFmtId="164" fontId="6" fillId="3" borderId="39" xfId="21" applyNumberFormat="1" applyFont="1" applyFill="1" applyBorder="1" applyAlignment="1" applyProtection="1">
      <alignment horizontal="center" vertical="center"/>
      <protection/>
    </xf>
    <xf numFmtId="0" fontId="1" fillId="0" borderId="38" xfId="21" applyFont="1" applyBorder="1" applyAlignment="1" applyProtection="1">
      <alignment vertical="center"/>
      <protection/>
    </xf>
    <xf numFmtId="0" fontId="36" fillId="0" borderId="3" xfId="21" applyFont="1" applyBorder="1" applyAlignment="1" applyProtection="1" quotePrefix="1">
      <alignment vertical="center"/>
      <protection/>
    </xf>
    <xf numFmtId="164" fontId="1" fillId="0" borderId="3" xfId="21" applyNumberFormat="1" applyFont="1" applyFill="1" applyBorder="1" applyAlignment="1" applyProtection="1">
      <alignment vertical="center"/>
      <protection/>
    </xf>
    <xf numFmtId="0" fontId="1" fillId="0" borderId="3" xfId="21" applyFont="1" applyFill="1" applyBorder="1" applyAlignment="1" applyProtection="1">
      <alignment horizontal="left" vertical="center" indent="1"/>
      <protection/>
    </xf>
    <xf numFmtId="164" fontId="42" fillId="0" borderId="15" xfId="21" applyNumberFormat="1" applyFont="1" applyFill="1" applyBorder="1" applyAlignment="1" applyProtection="1">
      <alignment vertical="center"/>
      <protection/>
    </xf>
    <xf numFmtId="3" fontId="1" fillId="0" borderId="30" xfId="19" applyNumberFormat="1" applyFont="1" applyBorder="1" applyAlignment="1" applyProtection="1">
      <alignment horizontal="right"/>
      <protection/>
    </xf>
    <xf numFmtId="165" fontId="42" fillId="0" borderId="15" xfId="22" applyNumberFormat="1" applyFont="1" applyFill="1" applyBorder="1" applyAlignment="1" applyProtection="1">
      <alignment vertical="center"/>
      <protection/>
    </xf>
    <xf numFmtId="164" fontId="1" fillId="0" borderId="21" xfId="21" applyNumberFormat="1" applyFont="1" applyFill="1" applyBorder="1" applyAlignment="1" applyProtection="1">
      <alignment vertical="center"/>
      <protection/>
    </xf>
    <xf numFmtId="0" fontId="0" fillId="2" borderId="0" xfId="21" applyFont="1" applyFill="1" applyBorder="1" applyAlignment="1" applyProtection="1">
      <alignment vertical="center"/>
      <protection/>
    </xf>
    <xf numFmtId="0" fontId="1" fillId="2" borderId="25" xfId="21" applyNumberFormat="1" applyFont="1" applyFill="1" applyBorder="1" applyAlignment="1" applyProtection="1">
      <alignment horizontal="center" vertical="center" wrapText="1"/>
      <protection/>
    </xf>
    <xf numFmtId="0" fontId="0" fillId="2" borderId="33" xfId="21" applyFont="1" applyFill="1" applyBorder="1" applyAlignment="1" applyProtection="1">
      <alignment vertical="center"/>
      <protection/>
    </xf>
    <xf numFmtId="0" fontId="47" fillId="2" borderId="25" xfId="21" applyNumberFormat="1" applyFont="1" applyFill="1" applyBorder="1" applyAlignment="1" applyProtection="1">
      <alignment horizontal="center" vertical="center" wrapText="1"/>
      <protection/>
    </xf>
    <xf numFmtId="0" fontId="1" fillId="2" borderId="26" xfId="21" applyNumberFormat="1" applyFont="1" applyFill="1" applyBorder="1" applyAlignment="1" applyProtection="1">
      <alignment horizontal="center" vertical="center" wrapText="1"/>
      <protection/>
    </xf>
    <xf numFmtId="164" fontId="0" fillId="2" borderId="25" xfId="21" applyNumberFormat="1" applyFont="1" applyFill="1" applyBorder="1" applyAlignment="1" applyProtection="1">
      <alignment vertical="center"/>
      <protection/>
    </xf>
    <xf numFmtId="164" fontId="0" fillId="2" borderId="26" xfId="21" applyNumberFormat="1" applyFont="1" applyFill="1" applyBorder="1" applyAlignment="1" applyProtection="1">
      <alignment vertical="center"/>
      <protection/>
    </xf>
    <xf numFmtId="3" fontId="1" fillId="0" borderId="30" xfId="19" applyNumberFormat="1" applyFont="1" applyBorder="1" applyAlignment="1" applyProtection="1">
      <alignment horizontal="right"/>
      <protection/>
    </xf>
    <xf numFmtId="0" fontId="42" fillId="2" borderId="0" xfId="21" applyFont="1" applyFill="1" applyBorder="1" applyAlignment="1" applyProtection="1">
      <alignment vertical="center"/>
      <protection/>
    </xf>
    <xf numFmtId="0" fontId="1" fillId="0" borderId="25" xfId="21" applyFont="1" applyFill="1" applyBorder="1" applyAlignment="1" applyProtection="1">
      <alignment horizontal="left" vertical="center"/>
      <protection/>
    </xf>
    <xf numFmtId="165" fontId="0" fillId="2" borderId="15" xfId="22" applyNumberFormat="1" applyFont="1" applyFill="1" applyBorder="1" applyAlignment="1" applyProtection="1">
      <alignment horizontal="right" vertical="center"/>
      <protection/>
    </xf>
    <xf numFmtId="3" fontId="1" fillId="0" borderId="30" xfId="19" applyNumberFormat="1" applyFont="1" applyFill="1" applyBorder="1" applyAlignment="1" applyProtection="1">
      <alignment horizontal="right"/>
      <protection/>
    </xf>
    <xf numFmtId="0" fontId="6" fillId="3" borderId="23" xfId="21" applyFont="1" applyFill="1" applyBorder="1" applyAlignment="1" applyProtection="1">
      <alignment vertical="center"/>
      <protection/>
    </xf>
    <xf numFmtId="164" fontId="1" fillId="0" borderId="21" xfId="21" applyNumberFormat="1" applyFont="1" applyFill="1" applyBorder="1" applyAlignment="1" applyProtection="1">
      <alignment horizontal="center" vertical="center"/>
      <protection/>
    </xf>
    <xf numFmtId="0" fontId="1" fillId="0" borderId="0" xfId="21" applyFont="1" applyFill="1" applyBorder="1" applyAlignment="1" applyProtection="1">
      <alignment vertical="center"/>
      <protection/>
    </xf>
    <xf numFmtId="0" fontId="0" fillId="0" borderId="21" xfId="21" applyFont="1" applyBorder="1" applyAlignment="1" applyProtection="1">
      <alignment horizontal="center" vertical="center"/>
      <protection/>
    </xf>
    <xf numFmtId="0" fontId="36" fillId="0" borderId="0" xfId="21" applyFont="1" applyBorder="1" applyAlignment="1" applyProtection="1" quotePrefix="1">
      <alignment vertical="center"/>
      <protection/>
    </xf>
    <xf numFmtId="0" fontId="2" fillId="0" borderId="12" xfId="21" applyFont="1" applyBorder="1" applyAlignment="1" applyProtection="1">
      <alignment vertical="center"/>
      <protection/>
    </xf>
    <xf numFmtId="0" fontId="0" fillId="0" borderId="0" xfId="0" applyFont="1" applyFill="1" applyAlignment="1" applyProtection="1">
      <alignment horizontal="right"/>
      <protection/>
    </xf>
    <xf numFmtId="0" fontId="13" fillId="0" borderId="7" xfId="16" applyFont="1" applyFill="1" applyBorder="1" applyAlignment="1" applyProtection="1">
      <alignment horizontal="left"/>
      <protection/>
    </xf>
    <xf numFmtId="0" fontId="13" fillId="0" borderId="0" xfId="16" applyFont="1" applyFill="1" applyBorder="1" applyAlignment="1" applyProtection="1">
      <alignment horizontal="left"/>
      <protection/>
    </xf>
    <xf numFmtId="3" fontId="2" fillId="0" borderId="7" xfId="0" applyNumberFormat="1" applyFont="1" applyFill="1" applyBorder="1" applyAlignment="1" applyProtection="1">
      <alignment/>
      <protection/>
    </xf>
    <xf numFmtId="0" fontId="0" fillId="0" borderId="0" xfId="0" applyFont="1" applyFill="1" applyAlignment="1" applyProtection="1">
      <alignment horizontal="center"/>
      <protection/>
    </xf>
    <xf numFmtId="3" fontId="10" fillId="0" borderId="0" xfId="0" applyNumberFormat="1" applyFont="1" applyFill="1" applyBorder="1" applyAlignment="1" applyProtection="1">
      <alignment/>
      <protection/>
    </xf>
    <xf numFmtId="165" fontId="10" fillId="0" borderId="0" xfId="22" applyNumberFormat="1" applyFont="1" applyFill="1" applyAlignment="1" applyProtection="1">
      <alignment horizontal="center"/>
      <protection/>
    </xf>
    <xf numFmtId="0" fontId="2" fillId="0" borderId="0" xfId="0" applyFont="1" applyFill="1" applyAlignment="1" applyProtection="1">
      <alignment horizontal="right"/>
      <protection locked="0"/>
    </xf>
    <xf numFmtId="172" fontId="10" fillId="0" borderId="45" xfId="19" applyNumberFormat="1" applyFont="1" applyFill="1" applyBorder="1" applyAlignment="1" applyProtection="1">
      <alignment horizontal="right"/>
      <protection/>
    </xf>
    <xf numFmtId="172" fontId="10" fillId="0" borderId="44" xfId="19" applyNumberFormat="1" applyFont="1" applyFill="1" applyBorder="1" applyAlignment="1" applyProtection="1">
      <alignment horizontal="right"/>
      <protection/>
    </xf>
    <xf numFmtId="172" fontId="10" fillId="0" borderId="45" xfId="0" applyNumberFormat="1" applyFont="1" applyFill="1" applyBorder="1" applyAlignment="1" applyProtection="1">
      <alignment horizontal="right"/>
      <protection/>
    </xf>
    <xf numFmtId="164" fontId="10" fillId="0" borderId="46" xfId="0" applyNumberFormat="1" applyFont="1" applyFill="1" applyBorder="1" applyAlignment="1" applyProtection="1">
      <alignment horizontal="center" vertical="center" wrapText="1"/>
      <protection/>
    </xf>
    <xf numFmtId="172" fontId="2" fillId="0" borderId="0" xfId="19" applyNumberFormat="1" applyFont="1" applyFill="1" applyBorder="1" applyAlignment="1" applyProtection="1">
      <alignment/>
      <protection/>
    </xf>
    <xf numFmtId="172" fontId="4" fillId="0" borderId="0" xfId="19" applyNumberFormat="1" applyFont="1" applyFill="1" applyBorder="1" applyAlignment="1" applyProtection="1">
      <alignment horizontal="right"/>
      <protection/>
    </xf>
    <xf numFmtId="172" fontId="10" fillId="0" borderId="13" xfId="19" applyNumberFormat="1" applyFont="1" applyFill="1" applyBorder="1" applyAlignment="1" applyProtection="1">
      <alignment horizontal="right"/>
      <protection/>
    </xf>
    <xf numFmtId="172" fontId="10" fillId="0" borderId="0" xfId="19" applyNumberFormat="1" applyFont="1" applyFill="1" applyBorder="1" applyAlignment="1" applyProtection="1">
      <alignment/>
      <protection/>
    </xf>
    <xf numFmtId="0" fontId="2" fillId="0" borderId="3" xfId="0" applyFont="1" applyFill="1" applyBorder="1" applyAlignment="1" applyProtection="1">
      <alignment/>
      <protection/>
    </xf>
    <xf numFmtId="0" fontId="28" fillId="0" borderId="3" xfId="0" applyFont="1" applyFill="1" applyBorder="1" applyAlignment="1" applyProtection="1">
      <alignment horizontal="center" vertical="center"/>
      <protection/>
    </xf>
    <xf numFmtId="0" fontId="3" fillId="0" borderId="7" xfId="0" applyFont="1" applyFill="1" applyBorder="1" applyAlignment="1" applyProtection="1">
      <alignment horizontal="center"/>
      <protection/>
    </xf>
    <xf numFmtId="1" fontId="2" fillId="0" borderId="13" xfId="19" applyNumberFormat="1" applyFont="1" applyFill="1" applyBorder="1" applyAlignment="1" applyProtection="1">
      <alignment horizontal="right"/>
      <protection/>
    </xf>
    <xf numFmtId="165" fontId="45" fillId="0" borderId="3" xfId="22" applyNumberFormat="1" applyFont="1" applyFill="1" applyBorder="1" applyAlignment="1" applyProtection="1">
      <alignment horizontal="right"/>
      <protection/>
    </xf>
    <xf numFmtId="0" fontId="10" fillId="0" borderId="3" xfId="0" applyFont="1" applyFill="1" applyBorder="1" applyAlignment="1" applyProtection="1">
      <alignment horizontal="right" vertical="center"/>
      <protection/>
    </xf>
    <xf numFmtId="0" fontId="28" fillId="3" borderId="3" xfId="0" applyFont="1" applyFill="1" applyBorder="1" applyAlignment="1" applyProtection="1">
      <alignment horizontal="center" vertical="center" wrapText="1"/>
      <protection/>
    </xf>
    <xf numFmtId="0" fontId="28" fillId="4" borderId="3" xfId="0" applyFont="1" applyFill="1" applyBorder="1" applyAlignment="1" applyProtection="1">
      <alignment horizontal="center" vertical="center"/>
      <protection/>
    </xf>
    <xf numFmtId="0" fontId="28" fillId="3" borderId="0" xfId="0" applyFont="1" applyFill="1" applyBorder="1" applyAlignment="1" applyProtection="1">
      <alignment horizontal="center" vertical="center" wrapText="1"/>
      <protection/>
    </xf>
    <xf numFmtId="172" fontId="0" fillId="0" borderId="0" xfId="0" applyNumberFormat="1" applyAlignment="1" applyProtection="1">
      <alignment/>
      <protection locked="0"/>
    </xf>
    <xf numFmtId="0" fontId="3" fillId="2" borderId="7" xfId="0" applyFont="1" applyFill="1" applyBorder="1" applyAlignment="1" applyProtection="1">
      <alignment vertical="center"/>
      <protection/>
    </xf>
    <xf numFmtId="0" fontId="3" fillId="2" borderId="11" xfId="0" applyFont="1" applyFill="1" applyBorder="1" applyAlignment="1" applyProtection="1">
      <alignment vertical="center"/>
      <protection/>
    </xf>
    <xf numFmtId="0" fontId="3" fillId="0" borderId="2" xfId="0" applyFont="1" applyBorder="1" applyAlignment="1" applyProtection="1">
      <alignment horizontal="center"/>
      <protection/>
    </xf>
    <xf numFmtId="0" fontId="3" fillId="2" borderId="10" xfId="0" applyFont="1" applyFill="1" applyBorder="1" applyAlignment="1" applyProtection="1">
      <alignment vertical="center"/>
      <protection/>
    </xf>
    <xf numFmtId="0" fontId="0" fillId="0" borderId="3" xfId="0" applyFill="1" applyBorder="1" applyAlignment="1" applyProtection="1">
      <alignment/>
      <protection/>
    </xf>
    <xf numFmtId="0" fontId="3" fillId="2" borderId="2" xfId="0" applyFont="1" applyFill="1" applyBorder="1" applyAlignment="1" applyProtection="1">
      <alignment vertical="center"/>
      <protection/>
    </xf>
    <xf numFmtId="0" fontId="13" fillId="0" borderId="7" xfId="0" applyFont="1" applyBorder="1" applyAlignment="1" applyProtection="1">
      <alignment/>
      <protection/>
    </xf>
    <xf numFmtId="0" fontId="13" fillId="0" borderId="7" xfId="0" applyFont="1" applyFill="1" applyBorder="1" applyAlignment="1" applyProtection="1">
      <alignment/>
      <protection/>
    </xf>
    <xf numFmtId="0" fontId="0" fillId="2" borderId="7" xfId="0" applyFont="1" applyFill="1" applyBorder="1" applyAlignment="1" applyProtection="1">
      <alignment/>
      <protection/>
    </xf>
    <xf numFmtId="0" fontId="13" fillId="0" borderId="0" xfId="0" applyFont="1" applyBorder="1" applyAlignment="1" applyProtection="1">
      <alignment/>
      <protection/>
    </xf>
    <xf numFmtId="3" fontId="2" fillId="0" borderId="7" xfId="19" applyNumberFormat="1" applyFont="1" applyFill="1" applyBorder="1" applyAlignment="1" applyProtection="1">
      <alignment horizontal="right"/>
      <protection/>
    </xf>
    <xf numFmtId="0" fontId="0" fillId="0" borderId="3" xfId="0" applyFill="1" applyBorder="1" applyAlignment="1" applyProtection="1">
      <alignment/>
      <protection locked="0"/>
    </xf>
    <xf numFmtId="0" fontId="6" fillId="4" borderId="8"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172" fontId="10" fillId="0" borderId="10" xfId="19" applyNumberFormat="1" applyFont="1" applyFill="1" applyBorder="1" applyAlignment="1" applyProtection="1">
      <alignment horizontal="right"/>
      <protection/>
    </xf>
    <xf numFmtId="172" fontId="10" fillId="0" borderId="11" xfId="19" applyNumberFormat="1" applyFont="1" applyFill="1" applyBorder="1" applyAlignment="1" applyProtection="1">
      <alignment horizontal="right"/>
      <protection/>
    </xf>
    <xf numFmtId="172" fontId="2" fillId="0" borderId="2" xfId="19" applyNumberFormat="1" applyFont="1" applyFill="1" applyBorder="1" applyAlignment="1" applyProtection="1">
      <alignment horizontal="right"/>
      <protection/>
    </xf>
    <xf numFmtId="172" fontId="10" fillId="0" borderId="2" xfId="19" applyNumberFormat="1" applyFont="1" applyFill="1" applyBorder="1" applyAlignment="1" applyProtection="1">
      <alignment horizontal="right"/>
      <protection/>
    </xf>
    <xf numFmtId="172" fontId="10" fillId="0" borderId="2" xfId="19" applyNumberFormat="1" applyFont="1" applyFill="1" applyBorder="1" applyAlignment="1" applyProtection="1">
      <alignment horizontal="right" wrapText="1"/>
      <protection/>
    </xf>
    <xf numFmtId="165" fontId="2" fillId="0" borderId="2" xfId="22" applyNumberFormat="1" applyFont="1" applyFill="1" applyBorder="1" applyAlignment="1" applyProtection="1">
      <alignment/>
      <protection/>
    </xf>
    <xf numFmtId="172" fontId="2" fillId="0" borderId="50" xfId="19" applyNumberFormat="1" applyFont="1" applyFill="1" applyBorder="1" applyAlignment="1" applyProtection="1">
      <alignment horizontal="right"/>
      <protection/>
    </xf>
    <xf numFmtId="172" fontId="2" fillId="0" borderId="51" xfId="19" applyNumberFormat="1" applyFont="1" applyFill="1" applyBorder="1" applyAlignment="1" applyProtection="1">
      <alignment horizontal="right"/>
      <protection/>
    </xf>
    <xf numFmtId="165" fontId="2" fillId="0" borderId="8" xfId="22" applyNumberFormat="1" applyFont="1" applyFill="1" applyBorder="1" applyAlignment="1" applyProtection="1">
      <alignment/>
      <protection/>
    </xf>
    <xf numFmtId="165" fontId="2" fillId="0" borderId="3" xfId="22" applyNumberFormat="1" applyFont="1" applyFill="1" applyBorder="1" applyAlignment="1" applyProtection="1">
      <alignment/>
      <protection/>
    </xf>
    <xf numFmtId="165" fontId="2" fillId="0" borderId="9" xfId="22" applyNumberFormat="1" applyFont="1" applyFill="1" applyBorder="1" applyAlignment="1" applyProtection="1">
      <alignment/>
      <protection/>
    </xf>
    <xf numFmtId="3" fontId="2" fillId="0" borderId="2" xfId="19" applyNumberFormat="1" applyFont="1" applyFill="1" applyBorder="1" applyAlignment="1" applyProtection="1">
      <alignment horizontal="right"/>
      <protection/>
    </xf>
    <xf numFmtId="3" fontId="2" fillId="0" borderId="4" xfId="19" applyNumberFormat="1" applyFont="1" applyFill="1" applyBorder="1" applyAlignment="1" applyProtection="1">
      <alignment horizontal="right"/>
      <protection/>
    </xf>
    <xf numFmtId="166" fontId="10" fillId="0" borderId="2" xfId="19" applyNumberFormat="1" applyFont="1" applyFill="1" applyBorder="1" applyAlignment="1" applyProtection="1">
      <alignment horizontal="right"/>
      <protection/>
    </xf>
    <xf numFmtId="166" fontId="10" fillId="0" borderId="4" xfId="19" applyNumberFormat="1" applyFont="1" applyFill="1" applyBorder="1" applyAlignment="1" applyProtection="1">
      <alignment horizontal="right"/>
      <protection/>
    </xf>
    <xf numFmtId="165" fontId="2" fillId="0" borderId="8" xfId="22" applyNumberFormat="1" applyFont="1" applyFill="1" applyBorder="1" applyAlignment="1" applyProtection="1">
      <alignment horizontal="right"/>
      <protection/>
    </xf>
    <xf numFmtId="165" fontId="10" fillId="0" borderId="9" xfId="22" applyNumberFormat="1" applyFont="1" applyFill="1" applyBorder="1" applyAlignment="1" applyProtection="1">
      <alignment horizontal="right"/>
      <protection/>
    </xf>
    <xf numFmtId="0" fontId="2" fillId="0" borderId="10" xfId="19" applyNumberFormat="1" applyFont="1" applyFill="1" applyBorder="1" applyAlignment="1" applyProtection="1">
      <alignment horizontal="right"/>
      <protection/>
    </xf>
    <xf numFmtId="166" fontId="10" fillId="0" borderId="11" xfId="19" applyNumberFormat="1" applyFont="1" applyFill="1" applyBorder="1" applyAlignment="1" applyProtection="1">
      <alignment horizontal="right"/>
      <protection/>
    </xf>
    <xf numFmtId="166" fontId="10" fillId="0" borderId="9" xfId="19" applyNumberFormat="1" applyFont="1" applyFill="1" applyBorder="1" applyAlignment="1" applyProtection="1">
      <alignment horizontal="right"/>
      <protection/>
    </xf>
    <xf numFmtId="3" fontId="2" fillId="0" borderId="2" xfId="0" applyNumberFormat="1" applyFont="1" applyFill="1" applyBorder="1" applyAlignment="1" applyProtection="1">
      <alignment horizontal="right"/>
      <protection/>
    </xf>
    <xf numFmtId="3" fontId="2" fillId="0" borderId="4" xfId="0" applyNumberFormat="1" applyFont="1" applyFill="1" applyBorder="1" applyAlignment="1" applyProtection="1">
      <alignment horizontal="right"/>
      <protection/>
    </xf>
    <xf numFmtId="3" fontId="2" fillId="0" borderId="4" xfId="19" applyNumberFormat="1" applyFont="1" applyFill="1" applyBorder="1" applyAlignment="1" applyProtection="1">
      <alignment horizontal="right"/>
      <protection/>
    </xf>
    <xf numFmtId="3" fontId="10" fillId="0" borderId="2" xfId="19" applyNumberFormat="1" applyFont="1" applyFill="1" applyBorder="1" applyAlignment="1" applyProtection="1">
      <alignment horizontal="right"/>
      <protection/>
    </xf>
    <xf numFmtId="3" fontId="10" fillId="0" borderId="4" xfId="19" applyNumberFormat="1" applyFont="1" applyFill="1" applyBorder="1" applyAlignment="1" applyProtection="1">
      <alignment horizontal="right"/>
      <protection/>
    </xf>
    <xf numFmtId="0" fontId="1" fillId="0" borderId="8" xfId="0" applyFont="1" applyFill="1" applyBorder="1" applyAlignment="1" applyProtection="1">
      <alignment horizontal="right" vertical="center"/>
      <protection/>
    </xf>
    <xf numFmtId="0" fontId="1" fillId="0" borderId="9" xfId="0" applyFont="1" applyFill="1" applyBorder="1" applyAlignment="1" applyProtection="1">
      <alignment horizontal="right" vertical="center"/>
      <protection/>
    </xf>
    <xf numFmtId="3" fontId="2" fillId="0" borderId="4" xfId="0" applyNumberFormat="1" applyFont="1" applyFill="1" applyBorder="1" applyAlignment="1" applyProtection="1">
      <alignment horizontal="right"/>
      <protection/>
    </xf>
    <xf numFmtId="0" fontId="0" fillId="0" borderId="4" xfId="0" applyFont="1" applyFill="1" applyBorder="1" applyAlignment="1" applyProtection="1">
      <alignment horizontal="right"/>
      <protection/>
    </xf>
    <xf numFmtId="0" fontId="47" fillId="0" borderId="8" xfId="0" applyFont="1" applyFill="1" applyBorder="1" applyAlignment="1" applyProtection="1">
      <alignment horizontal="right" vertical="center"/>
      <protection/>
    </xf>
    <xf numFmtId="0" fontId="47" fillId="0" borderId="9" xfId="0" applyFont="1" applyFill="1" applyBorder="1" applyAlignment="1" applyProtection="1">
      <alignment horizontal="right" vertical="center"/>
      <protection/>
    </xf>
    <xf numFmtId="165" fontId="2" fillId="0" borderId="2" xfId="22" applyNumberFormat="1" applyFont="1" applyFill="1" applyBorder="1" applyAlignment="1" applyProtection="1">
      <alignment horizontal="right"/>
      <protection/>
    </xf>
    <xf numFmtId="165" fontId="2" fillId="0" borderId="4" xfId="22" applyNumberFormat="1" applyFont="1" applyFill="1" applyBorder="1" applyAlignment="1" applyProtection="1">
      <alignment horizontal="right"/>
      <protection/>
    </xf>
    <xf numFmtId="165" fontId="10" fillId="0" borderId="2" xfId="22" applyNumberFormat="1" applyFont="1" applyFill="1" applyBorder="1" applyAlignment="1" applyProtection="1">
      <alignment horizontal="right"/>
      <protection/>
    </xf>
    <xf numFmtId="165" fontId="10" fillId="0" borderId="4" xfId="22" applyNumberFormat="1" applyFont="1" applyFill="1" applyBorder="1" applyAlignment="1" applyProtection="1">
      <alignment horizontal="right"/>
      <protection/>
    </xf>
    <xf numFmtId="165" fontId="10" fillId="0" borderId="8" xfId="22" applyNumberFormat="1" applyFont="1" applyFill="1" applyBorder="1" applyAlignment="1" applyProtection="1">
      <alignment horizontal="right"/>
      <protection/>
    </xf>
    <xf numFmtId="0" fontId="13" fillId="0" borderId="10" xfId="16" applyFont="1" applyBorder="1" applyAlignment="1" applyProtection="1">
      <alignment horizontal="left"/>
      <protection/>
    </xf>
    <xf numFmtId="165" fontId="10" fillId="0" borderId="7" xfId="22" applyNumberFormat="1" applyFont="1" applyFill="1" applyBorder="1" applyAlignment="1" applyProtection="1">
      <alignment/>
      <protection/>
    </xf>
    <xf numFmtId="0" fontId="4" fillId="0" borderId="7" xfId="0" applyFont="1" applyFill="1" applyBorder="1" applyAlignment="1" applyProtection="1">
      <alignment/>
      <protection/>
    </xf>
    <xf numFmtId="165" fontId="10" fillId="0" borderId="7" xfId="22" applyNumberFormat="1" applyFont="1" applyBorder="1" applyAlignment="1" applyProtection="1">
      <alignment/>
      <protection/>
    </xf>
    <xf numFmtId="167" fontId="45" fillId="0" borderId="7" xfId="0" applyNumberFormat="1" applyFont="1" applyFill="1" applyBorder="1" applyAlignment="1" applyProtection="1">
      <alignment/>
      <protection/>
    </xf>
    <xf numFmtId="167" fontId="45" fillId="0" borderId="11" xfId="0" applyNumberFormat="1" applyFont="1" applyFill="1" applyBorder="1" applyAlignment="1" applyProtection="1">
      <alignment/>
      <protection/>
    </xf>
    <xf numFmtId="0" fontId="6" fillId="4" borderId="2" xfId="0" applyFont="1" applyFill="1" applyBorder="1" applyAlignment="1" applyProtection="1">
      <alignment horizontal="center" vertical="center"/>
      <protection/>
    </xf>
    <xf numFmtId="3" fontId="2" fillId="0" borderId="10" xfId="0" applyNumberFormat="1" applyFont="1" applyBorder="1" applyAlignment="1" applyProtection="1">
      <alignment horizontal="right"/>
      <protection/>
    </xf>
    <xf numFmtId="3" fontId="2" fillId="0" borderId="2" xfId="0" applyNumberFormat="1" applyFont="1" applyBorder="1" applyAlignment="1" applyProtection="1">
      <alignment horizontal="right"/>
      <protection/>
    </xf>
    <xf numFmtId="3" fontId="10" fillId="0" borderId="2" xfId="19" applyNumberFormat="1" applyFont="1" applyFill="1" applyBorder="1" applyAlignment="1" applyProtection="1">
      <alignment horizontal="right"/>
      <protection/>
    </xf>
    <xf numFmtId="3" fontId="10" fillId="0" borderId="4" xfId="0" applyNumberFormat="1" applyFont="1" applyFill="1" applyBorder="1" applyAlignment="1" applyProtection="1">
      <alignment horizontal="right"/>
      <protection/>
    </xf>
    <xf numFmtId="166" fontId="10" fillId="0" borderId="2" xfId="19" applyNumberFormat="1" applyFont="1" applyFill="1" applyBorder="1" applyAlignment="1" applyProtection="1">
      <alignment horizontal="right"/>
      <protection/>
    </xf>
    <xf numFmtId="165" fontId="45" fillId="0" borderId="4" xfId="22" applyNumberFormat="1" applyFont="1" applyFill="1" applyBorder="1" applyAlignment="1" applyProtection="1">
      <alignment horizontal="right"/>
      <protection/>
    </xf>
    <xf numFmtId="0" fontId="1" fillId="0" borderId="8" xfId="0" applyFont="1" applyFill="1" applyBorder="1" applyAlignment="1" applyProtection="1">
      <alignment horizontal="right" vertical="center"/>
      <protection/>
    </xf>
    <xf numFmtId="0" fontId="14" fillId="0" borderId="9" xfId="0" applyFont="1" applyFill="1" applyBorder="1" applyAlignment="1" applyProtection="1">
      <alignment horizontal="right" vertical="center"/>
      <protection/>
    </xf>
    <xf numFmtId="165" fontId="2" fillId="0" borderId="2" xfId="22" applyNumberFormat="1" applyFont="1" applyFill="1" applyBorder="1" applyAlignment="1" applyProtection="1">
      <alignment horizontal="right"/>
      <protection/>
    </xf>
    <xf numFmtId="165" fontId="10" fillId="0" borderId="2" xfId="22" applyNumberFormat="1" applyFont="1" applyFill="1" applyBorder="1" applyAlignment="1" applyProtection="1">
      <alignment horizontal="right"/>
      <protection/>
    </xf>
    <xf numFmtId="9" fontId="10" fillId="0" borderId="2" xfId="22" applyFont="1" applyFill="1" applyBorder="1" applyAlignment="1" applyProtection="1">
      <alignment horizontal="right"/>
      <protection/>
    </xf>
    <xf numFmtId="165" fontId="45" fillId="0" borderId="9" xfId="22" applyNumberFormat="1" applyFont="1" applyFill="1" applyBorder="1" applyAlignment="1" applyProtection="1">
      <alignment horizontal="right"/>
      <protection/>
    </xf>
    <xf numFmtId="166" fontId="2" fillId="0" borderId="2" xfId="19" applyNumberFormat="1" applyFont="1" applyFill="1" applyBorder="1" applyAlignment="1" applyProtection="1">
      <alignment horizontal="right"/>
      <protection/>
    </xf>
    <xf numFmtId="166" fontId="2" fillId="0" borderId="4" xfId="19" applyNumberFormat="1" applyFont="1" applyFill="1" applyBorder="1" applyAlignment="1" applyProtection="1">
      <alignment horizontal="right"/>
      <protection/>
    </xf>
    <xf numFmtId="0" fontId="0" fillId="0" borderId="8" xfId="0" applyFont="1" applyFill="1" applyBorder="1" applyAlignment="1" applyProtection="1">
      <alignment horizontal="right"/>
      <protection/>
    </xf>
    <xf numFmtId="0" fontId="4" fillId="0" borderId="4" xfId="0" applyFont="1" applyFill="1" applyBorder="1" applyAlignment="1" applyProtection="1">
      <alignment horizontal="right"/>
      <protection/>
    </xf>
    <xf numFmtId="3" fontId="2" fillId="0" borderId="10" xfId="0" applyNumberFormat="1" applyFont="1" applyFill="1" applyBorder="1" applyAlignment="1" applyProtection="1">
      <alignment horizontal="right"/>
      <protection/>
    </xf>
    <xf numFmtId="3" fontId="2" fillId="0" borderId="11" xfId="19" applyNumberFormat="1" applyFont="1" applyFill="1" applyBorder="1" applyAlignment="1" applyProtection="1">
      <alignment horizontal="right"/>
      <protection/>
    </xf>
    <xf numFmtId="3" fontId="2" fillId="0" borderId="2" xfId="0" applyNumberFormat="1" applyFont="1" applyFill="1" applyBorder="1" applyAlignment="1" applyProtection="1">
      <alignment horizontal="right"/>
      <protection/>
    </xf>
    <xf numFmtId="0" fontId="2" fillId="0" borderId="4" xfId="0" applyFont="1" applyFill="1" applyBorder="1" applyAlignment="1" applyProtection="1">
      <alignment horizontal="right"/>
      <protection/>
    </xf>
    <xf numFmtId="0" fontId="2" fillId="0" borderId="9" xfId="0" applyFont="1" applyFill="1" applyBorder="1" applyAlignment="1" applyProtection="1">
      <alignment horizontal="right"/>
      <protection/>
    </xf>
    <xf numFmtId="0" fontId="10" fillId="0" borderId="4" xfId="0" applyFont="1" applyFill="1" applyBorder="1" applyAlignment="1" applyProtection="1">
      <alignment horizontal="right" vertical="center"/>
      <protection/>
    </xf>
    <xf numFmtId="164" fontId="2" fillId="0" borderId="10" xfId="0" applyNumberFormat="1" applyFont="1" applyFill="1" applyBorder="1" applyAlignment="1" applyProtection="1">
      <alignment horizontal="right"/>
      <protection/>
    </xf>
    <xf numFmtId="164" fontId="2" fillId="0" borderId="2" xfId="0" applyNumberFormat="1" applyFont="1" applyFill="1" applyBorder="1" applyAlignment="1" applyProtection="1">
      <alignment horizontal="right"/>
      <protection/>
    </xf>
    <xf numFmtId="164" fontId="2" fillId="0" borderId="4" xfId="0" applyNumberFormat="1" applyFont="1" applyFill="1" applyBorder="1" applyAlignment="1" applyProtection="1">
      <alignment horizontal="right"/>
      <protection/>
    </xf>
    <xf numFmtId="164" fontId="10" fillId="0" borderId="4" xfId="0" applyNumberFormat="1" applyFont="1" applyFill="1" applyBorder="1" applyAlignment="1" applyProtection="1">
      <alignment horizontal="right"/>
      <protection/>
    </xf>
    <xf numFmtId="0" fontId="1" fillId="0" borderId="2" xfId="0" applyFont="1" applyFill="1" applyBorder="1" applyAlignment="1" applyProtection="1">
      <alignment horizontal="right" vertical="center"/>
      <protection/>
    </xf>
    <xf numFmtId="165" fontId="10" fillId="0" borderId="8" xfId="22" applyNumberFormat="1" applyFont="1" applyFill="1" applyBorder="1" applyAlignment="1" applyProtection="1">
      <alignment horizontal="right" vertical="center"/>
      <protection/>
    </xf>
    <xf numFmtId="167" fontId="25" fillId="0" borderId="9" xfId="0" applyNumberFormat="1" applyFont="1" applyFill="1" applyBorder="1" applyAlignment="1" applyProtection="1">
      <alignment horizontal="right" vertical="center"/>
      <protection/>
    </xf>
    <xf numFmtId="165" fontId="10" fillId="0" borderId="8" xfId="22" applyNumberFormat="1" applyFont="1" applyFill="1" applyBorder="1" applyAlignment="1" applyProtection="1">
      <alignment horizontal="right"/>
      <protection/>
    </xf>
    <xf numFmtId="3" fontId="2" fillId="0" borderId="2" xfId="19" applyNumberFormat="1" applyFont="1" applyFill="1" applyBorder="1" applyAlignment="1" applyProtection="1">
      <alignment/>
      <protection/>
    </xf>
    <xf numFmtId="3" fontId="2" fillId="0" borderId="4" xfId="19" applyNumberFormat="1" applyFont="1" applyBorder="1" applyAlignment="1" applyProtection="1">
      <alignment/>
      <protection/>
    </xf>
    <xf numFmtId="3" fontId="2" fillId="0" borderId="4" xfId="19" applyNumberFormat="1" applyFont="1" applyFill="1" applyBorder="1" applyAlignment="1" applyProtection="1">
      <alignment/>
      <protection/>
    </xf>
    <xf numFmtId="166" fontId="10" fillId="0" borderId="2" xfId="19" applyNumberFormat="1" applyFont="1" applyFill="1" applyBorder="1" applyAlignment="1" applyProtection="1">
      <alignment/>
      <protection/>
    </xf>
    <xf numFmtId="166" fontId="10" fillId="0" borderId="4" xfId="19" applyNumberFormat="1" applyFont="1" applyFill="1" applyBorder="1" applyAlignment="1" applyProtection="1">
      <alignment horizontal="right"/>
      <protection/>
    </xf>
    <xf numFmtId="165" fontId="10" fillId="0" borderId="9" xfId="22" applyNumberFormat="1"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4" fillId="0" borderId="9" xfId="0" applyFont="1" applyFill="1" applyBorder="1" applyAlignment="1" applyProtection="1">
      <alignment horizontal="right"/>
      <protection/>
    </xf>
    <xf numFmtId="3" fontId="10" fillId="0" borderId="4" xfId="19" applyNumberFormat="1" applyFont="1" applyFill="1" applyBorder="1" applyAlignment="1" applyProtection="1">
      <alignment horizontal="right"/>
      <protection/>
    </xf>
    <xf numFmtId="0" fontId="1" fillId="0" borderId="9" xfId="0" applyFont="1" applyFill="1" applyBorder="1" applyAlignment="1" applyProtection="1">
      <alignment horizontal="center" vertical="center"/>
      <protection/>
    </xf>
    <xf numFmtId="3" fontId="2" fillId="0" borderId="2" xfId="0" applyNumberFormat="1" applyFont="1" applyFill="1" applyBorder="1" applyAlignment="1" applyProtection="1">
      <alignment/>
      <protection/>
    </xf>
    <xf numFmtId="3" fontId="2" fillId="0" borderId="4" xfId="0" applyNumberFormat="1" applyFont="1" applyBorder="1" applyAlignment="1" applyProtection="1">
      <alignment/>
      <protection/>
    </xf>
    <xf numFmtId="3" fontId="10" fillId="0" borderId="2" xfId="19" applyNumberFormat="1" applyFont="1" applyFill="1" applyBorder="1" applyAlignment="1" applyProtection="1">
      <alignment/>
      <protection/>
    </xf>
    <xf numFmtId="3" fontId="10" fillId="0" borderId="4" xfId="19" applyNumberFormat="1" applyFont="1" applyFill="1" applyBorder="1" applyAlignment="1" applyProtection="1">
      <alignment/>
      <protection/>
    </xf>
    <xf numFmtId="0" fontId="0" fillId="0" borderId="2" xfId="0" applyFont="1" applyFill="1" applyBorder="1" applyAlignment="1" applyProtection="1">
      <alignment horizontal="right"/>
      <protection/>
    </xf>
    <xf numFmtId="0" fontId="0" fillId="0" borderId="0" xfId="0" applyFont="1" applyBorder="1" applyAlignment="1" applyProtection="1">
      <alignment horizontal="center"/>
      <protection/>
    </xf>
    <xf numFmtId="0" fontId="0" fillId="0" borderId="4" xfId="0" applyFont="1" applyBorder="1" applyAlignment="1" applyProtection="1">
      <alignment horizontal="center"/>
      <protection/>
    </xf>
    <xf numFmtId="0" fontId="47" fillId="0" borderId="9" xfId="0" applyFont="1" applyFill="1" applyBorder="1" applyAlignment="1" applyProtection="1">
      <alignment horizontal="center" vertical="center"/>
      <protection/>
    </xf>
    <xf numFmtId="165" fontId="2" fillId="0" borderId="2" xfId="22" applyNumberFormat="1" applyFont="1" applyFill="1" applyBorder="1" applyAlignment="1" applyProtection="1">
      <alignment/>
      <protection/>
    </xf>
    <xf numFmtId="165" fontId="2" fillId="0" borderId="4" xfId="22" applyNumberFormat="1" applyFont="1" applyFill="1" applyBorder="1" applyAlignment="1" applyProtection="1">
      <alignment/>
      <protection/>
    </xf>
    <xf numFmtId="165" fontId="10" fillId="0" borderId="2" xfId="22" applyNumberFormat="1" applyFont="1" applyFill="1" applyBorder="1" applyAlignment="1" applyProtection="1">
      <alignment/>
      <protection/>
    </xf>
    <xf numFmtId="165" fontId="10" fillId="0" borderId="4" xfId="22" applyNumberFormat="1" applyFont="1" applyFill="1" applyBorder="1" applyAlignment="1" applyProtection="1">
      <alignment/>
      <protection/>
    </xf>
    <xf numFmtId="165" fontId="2" fillId="0" borderId="8" xfId="22" applyNumberFormat="1" applyFont="1" applyFill="1" applyBorder="1" applyAlignment="1" applyProtection="1">
      <alignment horizontal="right"/>
      <protection/>
    </xf>
    <xf numFmtId="165" fontId="10" fillId="0" borderId="9" xfId="22" applyNumberFormat="1" applyFont="1" applyFill="1" applyBorder="1" applyAlignment="1" applyProtection="1">
      <alignment horizontal="center"/>
      <protection/>
    </xf>
    <xf numFmtId="0" fontId="2" fillId="0" borderId="10" xfId="19" applyNumberFormat="1" applyFont="1" applyFill="1" applyBorder="1" applyAlignment="1" applyProtection="1">
      <alignment horizontal="right"/>
      <protection/>
    </xf>
    <xf numFmtId="166" fontId="10" fillId="0" borderId="11" xfId="19" applyNumberFormat="1" applyFont="1" applyFill="1" applyBorder="1" applyAlignment="1" applyProtection="1">
      <alignment horizontal="center"/>
      <protection/>
    </xf>
    <xf numFmtId="0" fontId="0" fillId="0" borderId="8" xfId="0" applyFont="1" applyFill="1" applyBorder="1" applyAlignment="1" applyProtection="1">
      <alignment horizontal="right"/>
      <protection/>
    </xf>
    <xf numFmtId="166" fontId="10" fillId="0" borderId="9" xfId="19" applyNumberFormat="1" applyFont="1" applyFill="1" applyBorder="1" applyAlignment="1" applyProtection="1">
      <alignment horizontal="center"/>
      <protection/>
    </xf>
    <xf numFmtId="0" fontId="0" fillId="0" borderId="4" xfId="0" applyFont="1" applyFill="1" applyBorder="1" applyAlignment="1" applyProtection="1">
      <alignment horizontal="center"/>
      <protection/>
    </xf>
    <xf numFmtId="165" fontId="10" fillId="0" borderId="8" xfId="22" applyNumberFormat="1" applyFont="1" applyFill="1" applyBorder="1" applyAlignment="1" applyProtection="1">
      <alignment/>
      <protection/>
    </xf>
    <xf numFmtId="165" fontId="10" fillId="0" borderId="3" xfId="22" applyNumberFormat="1" applyFont="1" applyFill="1" applyBorder="1" applyAlignment="1" applyProtection="1">
      <alignment/>
      <protection/>
    </xf>
    <xf numFmtId="165" fontId="10" fillId="0" borderId="9" xfId="22" applyNumberFormat="1" applyFont="1" applyFill="1" applyBorder="1" applyAlignment="1" applyProtection="1">
      <alignment/>
      <protection/>
    </xf>
    <xf numFmtId="3" fontId="2" fillId="0" borderId="10" xfId="0" applyNumberFormat="1" applyFont="1" applyBorder="1" applyAlignment="1" applyProtection="1">
      <alignment/>
      <protection/>
    </xf>
    <xf numFmtId="3" fontId="2" fillId="0" borderId="11" xfId="0" applyNumberFormat="1" applyFont="1" applyBorder="1" applyAlignment="1" applyProtection="1">
      <alignment/>
      <protection/>
    </xf>
    <xf numFmtId="3" fontId="2" fillId="0" borderId="2" xfId="0" applyNumberFormat="1" applyFont="1" applyBorder="1" applyAlignment="1" applyProtection="1">
      <alignment/>
      <protection/>
    </xf>
    <xf numFmtId="3" fontId="10" fillId="0" borderId="4" xfId="0" applyNumberFormat="1" applyFont="1" applyBorder="1" applyAlignment="1" applyProtection="1">
      <alignment/>
      <protection/>
    </xf>
    <xf numFmtId="165" fontId="45" fillId="0" borderId="4" xfId="22" applyNumberFormat="1" applyFont="1" applyFill="1" applyBorder="1" applyAlignment="1" applyProtection="1">
      <alignment horizontal="center"/>
      <protection/>
    </xf>
    <xf numFmtId="0" fontId="14" fillId="0" borderId="9" xfId="0" applyFont="1" applyFill="1" applyBorder="1" applyAlignment="1" applyProtection="1">
      <alignment horizontal="center" vertical="center"/>
      <protection/>
    </xf>
    <xf numFmtId="165" fontId="2" fillId="0" borderId="2" xfId="22" applyNumberFormat="1" applyFont="1" applyBorder="1" applyAlignment="1" applyProtection="1">
      <alignment/>
      <protection/>
    </xf>
    <xf numFmtId="165" fontId="10" fillId="0" borderId="2" xfId="22" applyNumberFormat="1" applyFont="1" applyBorder="1" applyAlignment="1" applyProtection="1">
      <alignment/>
      <protection/>
    </xf>
    <xf numFmtId="9" fontId="10" fillId="0" borderId="2" xfId="22" applyFont="1" applyBorder="1" applyAlignment="1" applyProtection="1">
      <alignment horizontal="right"/>
      <protection/>
    </xf>
    <xf numFmtId="166" fontId="2" fillId="0" borderId="4" xfId="19" applyNumberFormat="1" applyFont="1" applyFill="1" applyBorder="1" applyAlignment="1" applyProtection="1">
      <alignment horizontal="center"/>
      <protection/>
    </xf>
    <xf numFmtId="0" fontId="0" fillId="0" borderId="8" xfId="0" applyFont="1" applyBorder="1" applyAlignment="1" applyProtection="1">
      <alignment horizontal="right"/>
      <protection/>
    </xf>
    <xf numFmtId="0" fontId="4" fillId="0" borderId="4" xfId="0" applyFont="1" applyFill="1" applyBorder="1" applyAlignment="1" applyProtection="1">
      <alignment horizontal="center"/>
      <protection/>
    </xf>
    <xf numFmtId="0" fontId="2" fillId="0" borderId="4" xfId="0" applyFont="1" applyFill="1" applyBorder="1" applyAlignment="1" applyProtection="1">
      <alignment horizontal="center"/>
      <protection/>
    </xf>
    <xf numFmtId="0" fontId="0" fillId="0" borderId="8" xfId="0" applyFont="1" applyBorder="1" applyAlignment="1" applyProtection="1">
      <alignment horizontal="right"/>
      <protection/>
    </xf>
    <xf numFmtId="0" fontId="2" fillId="0" borderId="9" xfId="0" applyFont="1" applyFill="1" applyBorder="1" applyAlignment="1" applyProtection="1">
      <alignment horizontal="center"/>
      <protection/>
    </xf>
    <xf numFmtId="165" fontId="2" fillId="0" borderId="2" xfId="22" applyNumberFormat="1" applyFont="1" applyFill="1" applyBorder="1" applyAlignment="1" applyProtection="1">
      <alignment/>
      <protection/>
    </xf>
    <xf numFmtId="165" fontId="10" fillId="0" borderId="2" xfId="22" applyNumberFormat="1" applyFont="1" applyFill="1" applyBorder="1" applyAlignment="1" applyProtection="1">
      <alignment/>
      <protection/>
    </xf>
    <xf numFmtId="0" fontId="10" fillId="0" borderId="4" xfId="0" applyFont="1" applyFill="1" applyBorder="1" applyAlignment="1" applyProtection="1">
      <alignment horizontal="center" vertical="center"/>
      <protection/>
    </xf>
    <xf numFmtId="164" fontId="2" fillId="0" borderId="10" xfId="0" applyNumberFormat="1" applyFont="1" applyBorder="1" applyAlignment="1" applyProtection="1">
      <alignment horizontal="right"/>
      <protection/>
    </xf>
    <xf numFmtId="164" fontId="2" fillId="0" borderId="11" xfId="0" applyNumberFormat="1" applyFont="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64" fontId="10" fillId="0" borderId="4" xfId="0" applyNumberFormat="1" applyFont="1" applyBorder="1" applyAlignment="1" applyProtection="1">
      <alignment horizontal="right"/>
      <protection/>
    </xf>
    <xf numFmtId="167" fontId="25" fillId="0" borderId="9" xfId="0" applyNumberFormat="1" applyFont="1" applyFill="1" applyBorder="1" applyAlignment="1" applyProtection="1">
      <alignment horizontal="center" vertical="center"/>
      <protection/>
    </xf>
    <xf numFmtId="165" fontId="2" fillId="0" borderId="2" xfId="22" applyNumberFormat="1" applyFont="1" applyBorder="1" applyAlignment="1" applyProtection="1">
      <alignment horizontal="right"/>
      <protection/>
    </xf>
    <xf numFmtId="165" fontId="2" fillId="0" borderId="0" xfId="22" applyNumberFormat="1" applyFont="1" applyBorder="1" applyAlignment="1" applyProtection="1">
      <alignment horizontal="right"/>
      <protection/>
    </xf>
    <xf numFmtId="165" fontId="10" fillId="0" borderId="8" xfId="22" applyNumberFormat="1" applyFont="1" applyBorder="1" applyAlignment="1" applyProtection="1">
      <alignment horizontal="right"/>
      <protection/>
    </xf>
    <xf numFmtId="165" fontId="10" fillId="0" borderId="3" xfId="22" applyNumberFormat="1" applyFont="1" applyBorder="1" applyAlignment="1" applyProtection="1">
      <alignment horizontal="right"/>
      <protection/>
    </xf>
    <xf numFmtId="0" fontId="10" fillId="2" borderId="2" xfId="0" applyFont="1" applyFill="1" applyBorder="1" applyAlignment="1" applyProtection="1">
      <alignment horizontal="right"/>
      <protection/>
    </xf>
    <xf numFmtId="172" fontId="2" fillId="2" borderId="2" xfId="19" applyNumberFormat="1" applyFont="1" applyFill="1" applyBorder="1" applyAlignment="1" applyProtection="1">
      <alignment horizontal="right"/>
      <protection/>
    </xf>
    <xf numFmtId="0" fontId="2" fillId="2" borderId="2" xfId="0" applyFont="1" applyFill="1" applyBorder="1" applyAlignment="1" applyProtection="1">
      <alignment horizontal="right"/>
      <protection/>
    </xf>
    <xf numFmtId="172" fontId="10" fillId="2" borderId="2" xfId="19" applyNumberFormat="1" applyFont="1" applyFill="1" applyBorder="1" applyAlignment="1" applyProtection="1">
      <alignment horizontal="right"/>
      <protection/>
    </xf>
    <xf numFmtId="172" fontId="2" fillId="2" borderId="2" xfId="19" applyNumberFormat="1" applyFont="1" applyFill="1" applyBorder="1" applyAlignment="1" applyProtection="1">
      <alignment/>
      <protection/>
    </xf>
    <xf numFmtId="164" fontId="10" fillId="2" borderId="2" xfId="0" applyNumberFormat="1" applyFont="1" applyFill="1" applyBorder="1" applyAlignment="1" applyProtection="1">
      <alignment horizontal="center" vertical="center" wrapText="1"/>
      <protection/>
    </xf>
    <xf numFmtId="0" fontId="10" fillId="2" borderId="2" xfId="0" applyFont="1" applyFill="1" applyBorder="1" applyAlignment="1" applyProtection="1">
      <alignment/>
      <protection/>
    </xf>
    <xf numFmtId="172" fontId="4" fillId="2" borderId="2" xfId="19" applyNumberFormat="1" applyFont="1" applyFill="1" applyBorder="1" applyAlignment="1" applyProtection="1">
      <alignment horizontal="right"/>
      <protection/>
    </xf>
    <xf numFmtId="172" fontId="10" fillId="2" borderId="2" xfId="19" applyNumberFormat="1" applyFont="1" applyFill="1" applyBorder="1" applyAlignment="1" applyProtection="1">
      <alignment/>
      <protection/>
    </xf>
    <xf numFmtId="0" fontId="28" fillId="4" borderId="52" xfId="0" applyFont="1" applyFill="1" applyBorder="1" applyAlignment="1" applyProtection="1">
      <alignment horizontal="center" vertical="center"/>
      <protection/>
    </xf>
    <xf numFmtId="0" fontId="28" fillId="3" borderId="9" xfId="0" applyFont="1" applyFill="1" applyBorder="1" applyAlignment="1" applyProtection="1">
      <alignment horizontal="center" vertical="center"/>
      <protection/>
    </xf>
    <xf numFmtId="0" fontId="10" fillId="2" borderId="4" xfId="0" applyFont="1" applyFill="1" applyBorder="1" applyAlignment="1" applyProtection="1">
      <alignment horizontal="right"/>
      <protection/>
    </xf>
    <xf numFmtId="172" fontId="2" fillId="2" borderId="4" xfId="19" applyNumberFormat="1" applyFont="1" applyFill="1" applyBorder="1" applyAlignment="1" applyProtection="1">
      <alignment horizontal="right"/>
      <protection/>
    </xf>
    <xf numFmtId="172" fontId="2" fillId="2" borderId="50" xfId="19" applyNumberFormat="1" applyFont="1" applyFill="1" applyBorder="1" applyAlignment="1" applyProtection="1">
      <alignment horizontal="right"/>
      <protection/>
    </xf>
    <xf numFmtId="172" fontId="2" fillId="2" borderId="51" xfId="19" applyNumberFormat="1" applyFont="1" applyFill="1" applyBorder="1" applyAlignment="1" applyProtection="1">
      <alignment horizontal="right"/>
      <protection/>
    </xf>
    <xf numFmtId="0" fontId="2" fillId="2" borderId="4" xfId="0" applyFont="1" applyFill="1" applyBorder="1" applyAlignment="1" applyProtection="1">
      <alignment horizontal="right"/>
      <protection/>
    </xf>
    <xf numFmtId="172" fontId="10" fillId="2" borderId="53" xfId="19" applyNumberFormat="1" applyFont="1" applyFill="1" applyBorder="1" applyAlignment="1" applyProtection="1">
      <alignment horizontal="right"/>
      <protection/>
    </xf>
    <xf numFmtId="172" fontId="10" fillId="2" borderId="54" xfId="19" applyNumberFormat="1" applyFont="1" applyFill="1" applyBorder="1" applyAlignment="1" applyProtection="1">
      <alignment horizontal="right"/>
      <protection/>
    </xf>
    <xf numFmtId="172" fontId="2" fillId="2" borderId="4" xfId="19" applyNumberFormat="1" applyFont="1" applyFill="1" applyBorder="1" applyAlignment="1" applyProtection="1">
      <alignment/>
      <protection/>
    </xf>
    <xf numFmtId="172" fontId="10" fillId="2" borderId="55" xfId="19" applyNumberFormat="1" applyFont="1" applyFill="1" applyBorder="1" applyAlignment="1" applyProtection="1">
      <alignment horizontal="right"/>
      <protection/>
    </xf>
    <xf numFmtId="172" fontId="10" fillId="2" borderId="56" xfId="19" applyNumberFormat="1" applyFont="1" applyFill="1" applyBorder="1" applyAlignment="1" applyProtection="1">
      <alignment horizontal="right"/>
      <protection/>
    </xf>
    <xf numFmtId="172" fontId="10" fillId="2" borderId="53" xfId="0" applyNumberFormat="1" applyFont="1" applyFill="1" applyBorder="1" applyAlignment="1" applyProtection="1">
      <alignment horizontal="right"/>
      <protection/>
    </xf>
    <xf numFmtId="172" fontId="10" fillId="2" borderId="54" xfId="0" applyNumberFormat="1" applyFont="1" applyFill="1" applyBorder="1" applyAlignment="1" applyProtection="1">
      <alignment horizontal="right"/>
      <protection/>
    </xf>
    <xf numFmtId="164" fontId="10" fillId="2" borderId="4" xfId="0" applyNumberFormat="1" applyFont="1" applyFill="1" applyBorder="1" applyAlignment="1" applyProtection="1">
      <alignment horizontal="center" vertical="center" wrapText="1"/>
      <protection/>
    </xf>
    <xf numFmtId="164" fontId="10" fillId="2" borderId="57" xfId="0" applyNumberFormat="1" applyFont="1" applyFill="1" applyBorder="1" applyAlignment="1" applyProtection="1">
      <alignment horizontal="center" vertical="center" wrapText="1"/>
      <protection/>
    </xf>
    <xf numFmtId="164" fontId="10" fillId="2" borderId="58" xfId="0" applyNumberFormat="1" applyFont="1" applyFill="1" applyBorder="1" applyAlignment="1" applyProtection="1">
      <alignment horizontal="center" vertical="center" wrapText="1"/>
      <protection/>
    </xf>
    <xf numFmtId="0" fontId="10" fillId="2" borderId="4" xfId="0" applyFont="1" applyFill="1" applyBorder="1" applyAlignment="1" applyProtection="1">
      <alignment/>
      <protection/>
    </xf>
    <xf numFmtId="172" fontId="4" fillId="2" borderId="4" xfId="19" applyNumberFormat="1" applyFont="1" applyFill="1" applyBorder="1" applyAlignment="1" applyProtection="1">
      <alignment horizontal="right"/>
      <protection/>
    </xf>
    <xf numFmtId="172" fontId="10" fillId="2" borderId="50" xfId="19" applyNumberFormat="1" applyFont="1" applyFill="1" applyBorder="1" applyAlignment="1" applyProtection="1">
      <alignment horizontal="right"/>
      <protection/>
    </xf>
    <xf numFmtId="172" fontId="10" fillId="2" borderId="51" xfId="19" applyNumberFormat="1" applyFont="1" applyFill="1" applyBorder="1" applyAlignment="1" applyProtection="1">
      <alignment horizontal="right"/>
      <protection/>
    </xf>
    <xf numFmtId="172" fontId="10" fillId="2" borderId="4" xfId="19" applyNumberFormat="1" applyFont="1" applyFill="1" applyBorder="1" applyAlignment="1" applyProtection="1">
      <alignment horizontal="right"/>
      <protection/>
    </xf>
    <xf numFmtId="172" fontId="10" fillId="2" borderId="4" xfId="19" applyNumberFormat="1" applyFont="1" applyFill="1" applyBorder="1" applyAlignment="1" applyProtection="1">
      <alignment/>
      <protection/>
    </xf>
    <xf numFmtId="172" fontId="10" fillId="2" borderId="8" xfId="19" applyNumberFormat="1" applyFont="1" applyFill="1" applyBorder="1" applyAlignment="1" applyProtection="1">
      <alignment horizontal="right"/>
      <protection/>
    </xf>
    <xf numFmtId="172" fontId="10" fillId="2" borderId="3" xfId="19" applyNumberFormat="1" applyFont="1" applyFill="1" applyBorder="1" applyAlignment="1" applyProtection="1">
      <alignment horizontal="right"/>
      <protection/>
    </xf>
    <xf numFmtId="172" fontId="10" fillId="0" borderId="3" xfId="19" applyNumberFormat="1" applyFont="1" applyFill="1" applyBorder="1" applyAlignment="1" applyProtection="1">
      <alignment horizontal="right"/>
      <protection/>
    </xf>
    <xf numFmtId="172" fontId="10" fillId="2" borderId="9" xfId="19" applyNumberFormat="1" applyFont="1" applyFill="1" applyBorder="1" applyAlignment="1" applyProtection="1">
      <alignment horizontal="right"/>
      <protection/>
    </xf>
    <xf numFmtId="0" fontId="10" fillId="0" borderId="7" xfId="0" applyFont="1" applyFill="1" applyBorder="1" applyAlignment="1" applyProtection="1">
      <alignment vertical="center"/>
      <protection/>
    </xf>
    <xf numFmtId="0" fontId="28" fillId="3" borderId="4" xfId="0" applyFont="1" applyFill="1" applyBorder="1" applyAlignment="1" applyProtection="1">
      <alignment horizontal="center" vertical="center"/>
      <protection/>
    </xf>
    <xf numFmtId="164" fontId="10" fillId="0" borderId="2" xfId="0" applyNumberFormat="1" applyFont="1" applyFill="1" applyBorder="1" applyAlignment="1" applyProtection="1">
      <alignment horizontal="center" vertical="center" wrapText="1"/>
      <protection/>
    </xf>
    <xf numFmtId="164" fontId="10" fillId="0" borderId="4" xfId="0" applyNumberFormat="1" applyFont="1" applyFill="1" applyBorder="1" applyAlignment="1" applyProtection="1">
      <alignment horizontal="center" vertical="center" wrapText="1"/>
      <protection/>
    </xf>
    <xf numFmtId="0" fontId="2" fillId="0" borderId="2" xfId="0" applyFont="1" applyFill="1" applyBorder="1" applyAlignment="1" applyProtection="1">
      <alignment horizontal="right"/>
      <protection/>
    </xf>
    <xf numFmtId="172" fontId="2" fillId="0" borderId="2" xfId="0" applyNumberFormat="1" applyFont="1" applyFill="1" applyBorder="1" applyAlignment="1" applyProtection="1">
      <alignment/>
      <protection/>
    </xf>
    <xf numFmtId="172" fontId="2" fillId="0" borderId="4" xfId="0" applyNumberFormat="1" applyFont="1" applyFill="1" applyBorder="1" applyAlignment="1" applyProtection="1">
      <alignment horizontal="right"/>
      <protection/>
    </xf>
    <xf numFmtId="0" fontId="2" fillId="0" borderId="2" xfId="0" applyFont="1" applyFill="1" applyBorder="1" applyAlignment="1" applyProtection="1">
      <alignment wrapText="1"/>
      <protection/>
    </xf>
    <xf numFmtId="0" fontId="2" fillId="0" borderId="4" xfId="0" applyFont="1" applyFill="1" applyBorder="1" applyAlignment="1" applyProtection="1">
      <alignment wrapText="1"/>
      <protection/>
    </xf>
    <xf numFmtId="172" fontId="10" fillId="0" borderId="50" xfId="0" applyNumberFormat="1" applyFont="1" applyFill="1" applyBorder="1" applyAlignment="1" applyProtection="1">
      <alignment horizontal="right"/>
      <protection/>
    </xf>
    <xf numFmtId="172" fontId="10" fillId="0" borderId="51" xfId="0" applyNumberFormat="1" applyFont="1" applyFill="1" applyBorder="1" applyAlignment="1" applyProtection="1">
      <alignment horizontal="right"/>
      <protection/>
    </xf>
    <xf numFmtId="172" fontId="2" fillId="0" borderId="4" xfId="0" applyNumberFormat="1" applyFont="1" applyFill="1" applyBorder="1" applyAlignment="1" applyProtection="1">
      <alignment/>
      <protection/>
    </xf>
    <xf numFmtId="172" fontId="4" fillId="0" borderId="2" xfId="0" applyNumberFormat="1" applyFont="1" applyFill="1" applyBorder="1" applyAlignment="1" applyProtection="1">
      <alignment/>
      <protection/>
    </xf>
    <xf numFmtId="172" fontId="4" fillId="0" borderId="4" xfId="0" applyNumberFormat="1" applyFont="1" applyFill="1" applyBorder="1" applyAlignment="1" applyProtection="1">
      <alignment horizontal="right"/>
      <protection/>
    </xf>
    <xf numFmtId="172" fontId="59" fillId="0" borderId="2" xfId="0" applyNumberFormat="1" applyFont="1" applyFill="1" applyBorder="1" applyAlignment="1" applyProtection="1">
      <alignment/>
      <protection/>
    </xf>
    <xf numFmtId="172" fontId="59" fillId="0" borderId="4" xfId="0" applyNumberFormat="1" applyFont="1" applyFill="1" applyBorder="1" applyAlignment="1" applyProtection="1">
      <alignment horizontal="right"/>
      <protection/>
    </xf>
    <xf numFmtId="172" fontId="10" fillId="0" borderId="4" xfId="0" applyNumberFormat="1" applyFont="1" applyFill="1" applyBorder="1" applyAlignment="1" applyProtection="1">
      <alignment/>
      <protection/>
    </xf>
    <xf numFmtId="172" fontId="10" fillId="0" borderId="2" xfId="0" applyNumberFormat="1" applyFont="1" applyFill="1" applyBorder="1" applyAlignment="1" applyProtection="1">
      <alignment/>
      <protection/>
    </xf>
    <xf numFmtId="172" fontId="10" fillId="0" borderId="4" xfId="0" applyNumberFormat="1" applyFont="1" applyFill="1" applyBorder="1" applyAlignment="1" applyProtection="1">
      <alignment horizontal="right"/>
      <protection/>
    </xf>
    <xf numFmtId="172" fontId="10" fillId="0" borderId="10"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172" fontId="10" fillId="0" borderId="8" xfId="0" applyNumberFormat="1" applyFont="1" applyFill="1" applyBorder="1" applyAlignment="1" applyProtection="1">
      <alignment horizontal="right"/>
      <protection/>
    </xf>
    <xf numFmtId="172" fontId="10" fillId="0" borderId="9" xfId="0" applyNumberFormat="1" applyFont="1" applyFill="1" applyBorder="1" applyAlignment="1" applyProtection="1">
      <alignment horizontal="right"/>
      <protection/>
    </xf>
    <xf numFmtId="172" fontId="10" fillId="0" borderId="2" xfId="0" applyNumberFormat="1" applyFont="1" applyFill="1" applyBorder="1" applyAlignment="1" applyProtection="1">
      <alignment horizontal="right"/>
      <protection/>
    </xf>
    <xf numFmtId="172" fontId="2" fillId="0" borderId="2" xfId="0" applyNumberFormat="1" applyFont="1" applyFill="1" applyBorder="1" applyAlignment="1" applyProtection="1">
      <alignment horizontal="right"/>
      <protection/>
    </xf>
    <xf numFmtId="172" fontId="2" fillId="0" borderId="8" xfId="0" applyNumberFormat="1" applyFont="1" applyFill="1" applyBorder="1" applyAlignment="1" applyProtection="1">
      <alignment horizontal="right"/>
      <protection/>
    </xf>
    <xf numFmtId="172" fontId="2" fillId="0" borderId="9" xfId="0" applyNumberFormat="1" applyFont="1" applyFill="1" applyBorder="1" applyAlignment="1" applyProtection="1">
      <alignment horizontal="right"/>
      <protection/>
    </xf>
    <xf numFmtId="172" fontId="10" fillId="0" borderId="2" xfId="0" applyNumberFormat="1" applyFont="1" applyBorder="1" applyAlignment="1" applyProtection="1">
      <alignment/>
      <protection/>
    </xf>
    <xf numFmtId="172" fontId="2" fillId="0" borderId="2" xfId="0" applyNumberFormat="1" applyFont="1" applyFill="1" applyBorder="1" applyAlignment="1" applyProtection="1">
      <alignment vertical="top"/>
      <protection/>
    </xf>
    <xf numFmtId="172" fontId="2" fillId="0" borderId="4" xfId="0" applyNumberFormat="1" applyFont="1" applyFill="1" applyBorder="1" applyAlignment="1" applyProtection="1">
      <alignment vertical="top"/>
      <protection/>
    </xf>
    <xf numFmtId="172" fontId="10" fillId="0" borderId="50" xfId="0" applyNumberFormat="1" applyFont="1" applyFill="1" applyBorder="1" applyAlignment="1" applyProtection="1">
      <alignment vertical="top"/>
      <protection/>
    </xf>
    <xf numFmtId="172" fontId="10" fillId="0" borderId="51" xfId="0" applyNumberFormat="1" applyFont="1" applyFill="1" applyBorder="1" applyAlignment="1" applyProtection="1">
      <alignment vertical="top"/>
      <protection/>
    </xf>
    <xf numFmtId="172" fontId="10" fillId="0" borderId="4" xfId="0" applyNumberFormat="1" applyFont="1" applyFill="1" applyBorder="1" applyAlignment="1" applyProtection="1">
      <alignment vertical="top"/>
      <protection/>
    </xf>
    <xf numFmtId="172" fontId="10" fillId="0" borderId="3" xfId="0" applyNumberFormat="1" applyFont="1" applyFill="1" applyBorder="1" applyAlignment="1" applyProtection="1">
      <alignment vertical="top"/>
      <protection/>
    </xf>
    <xf numFmtId="0" fontId="3" fillId="0" borderId="7" xfId="0" applyFont="1" applyBorder="1" applyAlignment="1" applyProtection="1">
      <alignment/>
      <protection/>
    </xf>
    <xf numFmtId="0" fontId="3" fillId="0" borderId="10" xfId="0" applyFont="1" applyBorder="1" applyAlignment="1" applyProtection="1">
      <alignment/>
      <protection/>
    </xf>
    <xf numFmtId="0" fontId="2" fillId="0" borderId="2" xfId="0" applyFont="1" applyBorder="1" applyAlignment="1" applyProtection="1">
      <alignment vertical="center"/>
      <protection/>
    </xf>
    <xf numFmtId="164" fontId="2" fillId="2" borderId="2" xfId="0" applyNumberFormat="1" applyFont="1" applyFill="1" applyBorder="1" applyAlignment="1" applyProtection="1">
      <alignment horizontal="left" vertical="center"/>
      <protection/>
    </xf>
    <xf numFmtId="0" fontId="4" fillId="0" borderId="2" xfId="0" applyFont="1" applyFill="1" applyBorder="1" applyAlignment="1" applyProtection="1">
      <alignment/>
      <protection/>
    </xf>
    <xf numFmtId="0" fontId="10" fillId="0" borderId="50" xfId="0" applyFont="1" applyFill="1" applyBorder="1" applyAlignment="1" applyProtection="1">
      <alignment/>
      <protection/>
    </xf>
    <xf numFmtId="0" fontId="10" fillId="0" borderId="8" xfId="0" applyFont="1" applyFill="1" applyBorder="1" applyAlignment="1" applyProtection="1">
      <alignment/>
      <protection/>
    </xf>
    <xf numFmtId="0" fontId="10" fillId="0" borderId="2" xfId="0" applyFont="1" applyFill="1" applyBorder="1" applyAlignment="1" applyProtection="1">
      <alignment wrapText="1"/>
      <protection/>
    </xf>
    <xf numFmtId="0" fontId="10" fillId="0" borderId="59" xfId="0" applyFont="1" applyFill="1" applyBorder="1" applyAlignment="1" applyProtection="1">
      <alignment/>
      <protection/>
    </xf>
    <xf numFmtId="164" fontId="2" fillId="0" borderId="2" xfId="0" applyNumberFormat="1" applyFont="1" applyFill="1" applyBorder="1" applyAlignment="1" applyProtection="1">
      <alignment horizontal="left" vertical="center"/>
      <protection/>
    </xf>
    <xf numFmtId="0" fontId="2" fillId="0" borderId="8" xfId="0" applyFont="1" applyFill="1" applyBorder="1" applyAlignment="1" applyProtection="1">
      <alignment/>
      <protection/>
    </xf>
    <xf numFmtId="0" fontId="2" fillId="0" borderId="2" xfId="0" applyFont="1" applyFill="1" applyBorder="1" applyAlignment="1" applyProtection="1">
      <alignment/>
      <protection/>
    </xf>
    <xf numFmtId="0" fontId="1" fillId="0" borderId="0" xfId="0" applyFont="1" applyBorder="1" applyAlignment="1" applyProtection="1">
      <alignment/>
      <protection locked="0"/>
    </xf>
    <xf numFmtId="165" fontId="31" fillId="0" borderId="0" xfId="22" applyNumberFormat="1" applyFont="1" applyFill="1" applyBorder="1" applyAlignment="1" applyProtection="1">
      <alignment horizontal="center" vertical="center"/>
      <protection/>
    </xf>
    <xf numFmtId="0" fontId="36" fillId="0" borderId="0" xfId="0" applyFont="1" applyBorder="1" applyAlignment="1" applyProtection="1">
      <alignment/>
      <protection locked="0"/>
    </xf>
    <xf numFmtId="0" fontId="0" fillId="0" borderId="0" xfId="0" applyFont="1" applyBorder="1" applyAlignment="1" applyProtection="1">
      <alignment/>
      <protection locked="0"/>
    </xf>
    <xf numFmtId="167" fontId="4" fillId="0" borderId="0" xfId="22" applyNumberFormat="1" applyFont="1" applyBorder="1" applyAlignment="1" applyProtection="1" quotePrefix="1">
      <alignment horizontal="center"/>
      <protection/>
    </xf>
    <xf numFmtId="0" fontId="38" fillId="0" borderId="0" xfId="0" applyFont="1" applyFill="1" applyBorder="1" applyAlignment="1" applyProtection="1">
      <alignment wrapText="1"/>
      <protection/>
    </xf>
    <xf numFmtId="0" fontId="1" fillId="0" borderId="14" xfId="21" applyNumberFormat="1" applyFont="1" applyFill="1" applyBorder="1" applyAlignment="1" applyProtection="1">
      <alignment horizontal="center" vertical="center" wrapText="1"/>
      <protection/>
    </xf>
    <xf numFmtId="164" fontId="5" fillId="0" borderId="60" xfId="21" applyNumberFormat="1" applyFont="1" applyFill="1" applyBorder="1" applyAlignment="1" applyProtection="1">
      <alignment vertical="center"/>
      <protection/>
    </xf>
    <xf numFmtId="171" fontId="2" fillId="0" borderId="0" xfId="0" applyNumberFormat="1" applyFont="1" applyBorder="1" applyAlignment="1" applyProtection="1">
      <alignment horizontal="center"/>
      <protection/>
    </xf>
    <xf numFmtId="9" fontId="2" fillId="0" borderId="0" xfId="22" applyNumberFormat="1" applyFont="1" applyBorder="1" applyAlignment="1" applyProtection="1">
      <alignment horizontal="center"/>
      <protection/>
    </xf>
    <xf numFmtId="0" fontId="40" fillId="0" borderId="7" xfId="0" applyFont="1" applyBorder="1" applyAlignment="1" applyProtection="1">
      <alignment/>
      <protection/>
    </xf>
    <xf numFmtId="0" fontId="40" fillId="0" borderId="0" xfId="0" applyFont="1" applyBorder="1" applyAlignment="1" applyProtection="1">
      <alignment vertical="top"/>
      <protection/>
    </xf>
    <xf numFmtId="0" fontId="40" fillId="0" borderId="7" xfId="0" applyFont="1" applyBorder="1" applyAlignment="1" applyProtection="1">
      <alignment vertical="top"/>
      <protection/>
    </xf>
    <xf numFmtId="171" fontId="2" fillId="0" borderId="0" xfId="0" applyNumberFormat="1" applyFont="1" applyFill="1" applyBorder="1" applyAlignment="1" applyProtection="1">
      <alignment horizontal="center"/>
      <protection/>
    </xf>
    <xf numFmtId="165" fontId="13" fillId="0" borderId="0" xfId="22" applyNumberFormat="1" applyFont="1" applyFill="1" applyBorder="1" applyAlignment="1" applyProtection="1">
      <alignment horizontal="center"/>
      <protection/>
    </xf>
    <xf numFmtId="0" fontId="6" fillId="3" borderId="31" xfId="21" applyNumberFormat="1" applyFont="1" applyFill="1" applyBorder="1" applyAlignment="1" applyProtection="1">
      <alignment horizontal="center" vertical="center" wrapText="1"/>
      <protection/>
    </xf>
    <xf numFmtId="0" fontId="47" fillId="0" borderId="25" xfId="21" applyNumberFormat="1" applyFont="1" applyFill="1" applyBorder="1" applyAlignment="1" applyProtection="1">
      <alignment horizontal="center" vertical="center" wrapText="1"/>
      <protection/>
    </xf>
    <xf numFmtId="0" fontId="0" fillId="0" borderId="8" xfId="0" applyBorder="1" applyAlignment="1" applyProtection="1">
      <alignment/>
      <protection locked="0"/>
    </xf>
    <xf numFmtId="0" fontId="0" fillId="0" borderId="3" xfId="0" applyBorder="1" applyAlignment="1" applyProtection="1">
      <alignment/>
      <protection locked="0"/>
    </xf>
    <xf numFmtId="0" fontId="0" fillId="0" borderId="3" xfId="0" applyFill="1" applyBorder="1" applyAlignment="1" applyProtection="1">
      <alignment/>
      <protection locked="0"/>
    </xf>
    <xf numFmtId="165" fontId="63" fillId="0" borderId="0" xfId="22" applyNumberFormat="1" applyFont="1" applyFill="1" applyBorder="1" applyAlignment="1" applyProtection="1">
      <alignment horizontal="center" vertical="center"/>
      <protection/>
    </xf>
    <xf numFmtId="0" fontId="38" fillId="0" borderId="3" xfId="0" applyFont="1" applyBorder="1" applyAlignment="1" applyProtection="1">
      <alignment vertical="center" wrapText="1"/>
      <protection/>
    </xf>
    <xf numFmtId="0" fontId="0" fillId="2" borderId="2" xfId="0" applyFill="1" applyBorder="1" applyAlignment="1" applyProtection="1">
      <alignment vertical="top"/>
      <protection/>
    </xf>
    <xf numFmtId="0" fontId="39" fillId="0" borderId="7" xfId="0" applyFont="1" applyBorder="1" applyAlignment="1" applyProtection="1">
      <alignment vertical="top"/>
      <protection/>
    </xf>
    <xf numFmtId="0" fontId="13" fillId="0" borderId="7" xfId="16" applyFont="1" applyBorder="1" applyAlignment="1" applyProtection="1">
      <alignment vertical="top"/>
      <protection/>
    </xf>
    <xf numFmtId="0" fontId="13" fillId="0" borderId="7" xfId="16" applyFont="1" applyBorder="1" applyAlignment="1" applyProtection="1">
      <alignment horizontal="left" vertical="top"/>
      <protection/>
    </xf>
    <xf numFmtId="0" fontId="13" fillId="0" borderId="7" xfId="16" applyFont="1" applyFill="1" applyBorder="1" applyAlignment="1" applyProtection="1">
      <alignment horizontal="left" vertical="top"/>
      <protection/>
    </xf>
    <xf numFmtId="0" fontId="0" fillId="2" borderId="4" xfId="0" applyFill="1" applyBorder="1" applyAlignment="1" applyProtection="1">
      <alignment vertical="top"/>
      <protection/>
    </xf>
    <xf numFmtId="0" fontId="0" fillId="0" borderId="0" xfId="0" applyAlignment="1" applyProtection="1">
      <alignment vertical="top"/>
      <protection locked="0"/>
    </xf>
    <xf numFmtId="0" fontId="13" fillId="0" borderId="0" xfId="16" applyFont="1" applyBorder="1" applyAlignment="1" applyProtection="1">
      <alignment vertical="top"/>
      <protection/>
    </xf>
    <xf numFmtId="0" fontId="13" fillId="0" borderId="0" xfId="16" applyFont="1" applyBorder="1" applyAlignment="1" applyProtection="1">
      <alignment horizontal="left" vertical="top"/>
      <protection/>
    </xf>
    <xf numFmtId="0" fontId="13" fillId="0" borderId="0" xfId="16" applyFont="1" applyFill="1" applyBorder="1" applyAlignment="1" applyProtection="1">
      <alignment horizontal="left" vertical="top"/>
      <protection/>
    </xf>
    <xf numFmtId="0" fontId="0" fillId="0" borderId="0" xfId="0" applyBorder="1" applyAlignment="1" applyProtection="1">
      <alignment vertical="top"/>
      <protection locked="0"/>
    </xf>
    <xf numFmtId="0" fontId="0" fillId="2" borderId="8" xfId="0" applyFill="1" applyBorder="1" applyAlignment="1" applyProtection="1">
      <alignment vertical="top"/>
      <protection/>
    </xf>
    <xf numFmtId="0" fontId="38" fillId="0" borderId="3" xfId="0" applyFont="1" applyBorder="1" applyAlignment="1" applyProtection="1">
      <alignment vertical="top" wrapText="1"/>
      <protection/>
    </xf>
    <xf numFmtId="0" fontId="13" fillId="0" borderId="3" xfId="16" applyFont="1" applyBorder="1" applyAlignment="1" applyProtection="1">
      <alignment horizontal="left" vertical="top"/>
      <protection/>
    </xf>
    <xf numFmtId="165" fontId="10" fillId="0" borderId="3" xfId="22" applyNumberFormat="1" applyFont="1" applyFill="1" applyBorder="1" applyAlignment="1" applyProtection="1">
      <alignment vertical="top"/>
      <protection/>
    </xf>
    <xf numFmtId="0" fontId="4" fillId="0" borderId="3" xfId="0" applyFont="1" applyFill="1" applyBorder="1" applyAlignment="1" applyProtection="1">
      <alignment vertical="top"/>
      <protection/>
    </xf>
    <xf numFmtId="165" fontId="10" fillId="0" borderId="3" xfId="22" applyNumberFormat="1" applyFont="1" applyBorder="1" applyAlignment="1" applyProtection="1">
      <alignment vertical="top"/>
      <protection/>
    </xf>
    <xf numFmtId="167" fontId="45" fillId="0" borderId="3" xfId="0" applyNumberFormat="1" applyFont="1" applyFill="1" applyBorder="1" applyAlignment="1" applyProtection="1">
      <alignment vertical="top"/>
      <protection/>
    </xf>
    <xf numFmtId="0" fontId="0" fillId="2" borderId="9" xfId="0" applyFill="1" applyBorder="1" applyAlignment="1" applyProtection="1">
      <alignment vertical="top"/>
      <protection/>
    </xf>
    <xf numFmtId="0" fontId="39" fillId="0" borderId="0" xfId="0" applyFont="1" applyBorder="1" applyAlignment="1" applyProtection="1">
      <alignment vertical="top"/>
      <protection/>
    </xf>
    <xf numFmtId="0" fontId="39" fillId="0" borderId="3" xfId="0" applyFont="1" applyBorder="1" applyAlignment="1" applyProtection="1">
      <alignment vertical="top"/>
      <protection/>
    </xf>
    <xf numFmtId="0" fontId="0" fillId="0" borderId="0" xfId="0" applyFill="1" applyBorder="1" applyAlignment="1" applyProtection="1">
      <alignment/>
      <protection locked="0"/>
    </xf>
    <xf numFmtId="0" fontId="0" fillId="0" borderId="7" xfId="0" applyBorder="1" applyAlignment="1" applyProtection="1">
      <alignment vertical="top"/>
      <protection/>
    </xf>
    <xf numFmtId="0" fontId="0" fillId="0" borderId="7" xfId="0" applyFill="1" applyBorder="1" applyAlignment="1" applyProtection="1">
      <alignment vertical="top"/>
      <protection/>
    </xf>
    <xf numFmtId="0" fontId="0" fillId="0" borderId="4" xfId="0" applyBorder="1" applyAlignment="1" applyProtection="1">
      <alignment vertical="top"/>
      <protection/>
    </xf>
    <xf numFmtId="0" fontId="0" fillId="0" borderId="0" xfId="0" applyBorder="1" applyAlignment="1" applyProtection="1">
      <alignment vertical="top"/>
      <protection/>
    </xf>
    <xf numFmtId="0" fontId="0" fillId="0" borderId="0" xfId="0" applyFill="1" applyBorder="1" applyAlignment="1" applyProtection="1">
      <alignment vertical="top"/>
      <protection/>
    </xf>
    <xf numFmtId="0" fontId="1" fillId="0" borderId="0" xfId="0" applyFont="1" applyAlignment="1" applyProtection="1">
      <alignment vertical="top"/>
      <protection locked="0"/>
    </xf>
    <xf numFmtId="0" fontId="1" fillId="0" borderId="0" xfId="0" applyFont="1" applyBorder="1" applyAlignment="1" applyProtection="1">
      <alignment vertical="top"/>
      <protection locked="0"/>
    </xf>
    <xf numFmtId="0" fontId="0" fillId="0" borderId="3" xfId="0" applyBorder="1" applyAlignment="1" applyProtection="1">
      <alignment vertical="top"/>
      <protection/>
    </xf>
    <xf numFmtId="0" fontId="0" fillId="0" borderId="3" xfId="0" applyFill="1" applyBorder="1" applyAlignment="1" applyProtection="1">
      <alignment vertical="top"/>
      <protection/>
    </xf>
    <xf numFmtId="0" fontId="38" fillId="0" borderId="0" xfId="0" applyFont="1" applyFill="1" applyBorder="1" applyAlignment="1" applyProtection="1">
      <alignment horizontal="left" vertical="top"/>
      <protection/>
    </xf>
    <xf numFmtId="0" fontId="38" fillId="0" borderId="3" xfId="0" applyFont="1" applyFill="1" applyBorder="1" applyAlignment="1" applyProtection="1">
      <alignment horizontal="left" vertical="top"/>
      <protection/>
    </xf>
    <xf numFmtId="0" fontId="67" fillId="0" borderId="7" xfId="0" applyFont="1" applyFill="1" applyBorder="1" applyAlignment="1" applyProtection="1">
      <alignment horizontal="left"/>
      <protection/>
    </xf>
    <xf numFmtId="0" fontId="36" fillId="0" borderId="0" xfId="21" applyFont="1" applyBorder="1" applyAlignment="1" applyProtection="1" quotePrefix="1">
      <alignment vertical="center" wrapText="1"/>
      <protection/>
    </xf>
    <xf numFmtId="0" fontId="0" fillId="0" borderId="0" xfId="0" applyFont="1" applyBorder="1" applyAlignment="1" applyProtection="1">
      <alignment/>
      <protection/>
    </xf>
    <xf numFmtId="0" fontId="14" fillId="0" borderId="0" xfId="0" applyFont="1" applyBorder="1" applyAlignment="1" applyProtection="1">
      <alignment horizontal="center"/>
      <protection/>
    </xf>
    <xf numFmtId="0" fontId="25" fillId="0" borderId="0" xfId="0" applyFont="1" applyFill="1" applyBorder="1" applyAlignment="1" applyProtection="1">
      <alignment horizontal="center"/>
      <protection/>
    </xf>
    <xf numFmtId="0" fontId="13" fillId="0" borderId="0" xfId="0" applyFont="1" applyBorder="1" applyAlignment="1" applyProtection="1">
      <alignment horizontal="left" indent="1"/>
      <protection/>
    </xf>
    <xf numFmtId="0" fontId="8" fillId="0" borderId="0" xfId="16" applyBorder="1" applyAlignment="1" applyProtection="1">
      <alignment horizontal="left"/>
      <protection/>
    </xf>
    <xf numFmtId="0" fontId="25" fillId="0" borderId="0" xfId="0" applyFont="1" applyBorder="1" applyAlignment="1" applyProtection="1">
      <alignment horizontal="left"/>
      <protection/>
    </xf>
    <xf numFmtId="0" fontId="34" fillId="0" borderId="0" xfId="16" applyFont="1" applyBorder="1" applyAlignment="1" applyProtection="1">
      <alignment/>
      <protection/>
    </xf>
    <xf numFmtId="0" fontId="34" fillId="0" borderId="0" xfId="16" applyFont="1" applyBorder="1" applyAlignment="1" applyProtection="1">
      <alignment horizontal="left"/>
      <protection/>
    </xf>
    <xf numFmtId="0" fontId="35" fillId="0" borderId="0" xfId="0" applyFont="1" applyBorder="1" applyAlignment="1" applyProtection="1">
      <alignment/>
      <protection/>
    </xf>
    <xf numFmtId="0" fontId="3" fillId="2" borderId="0" xfId="0" applyFont="1" applyFill="1" applyAlignment="1">
      <alignment vertical="center"/>
    </xf>
    <xf numFmtId="0" fontId="28" fillId="0" borderId="5" xfId="0" applyFont="1" applyBorder="1" applyAlignment="1">
      <alignment horizontal="center"/>
    </xf>
    <xf numFmtId="0" fontId="0" fillId="0" borderId="0" xfId="21" applyFont="1" applyAlignment="1">
      <alignment vertical="center"/>
    </xf>
    <xf numFmtId="0" fontId="0" fillId="0" borderId="2" xfId="21" applyFont="1" applyBorder="1" applyAlignment="1">
      <alignment vertical="center"/>
    </xf>
    <xf numFmtId="0" fontId="3" fillId="2" borderId="0" xfId="0" applyFont="1" applyFill="1" applyBorder="1" applyAlignment="1">
      <alignment horizontal="center" vertical="center"/>
    </xf>
    <xf numFmtId="0" fontId="3" fillId="2" borderId="4" xfId="0" applyFont="1" applyFill="1" applyBorder="1" applyAlignment="1">
      <alignment vertical="center"/>
    </xf>
    <xf numFmtId="0" fontId="23" fillId="0" borderId="6" xfId="0" applyFont="1" applyBorder="1" applyAlignment="1">
      <alignment/>
    </xf>
    <xf numFmtId="0" fontId="18" fillId="0" borderId="2" xfId="21" applyFont="1" applyBorder="1" applyAlignment="1">
      <alignment vertical="center"/>
    </xf>
    <xf numFmtId="0" fontId="18" fillId="0" borderId="4" xfId="21" applyFont="1" applyBorder="1" applyAlignment="1">
      <alignment vertical="center"/>
    </xf>
    <xf numFmtId="0" fontId="18" fillId="0" borderId="0" xfId="21" applyFont="1" applyBorder="1" applyAlignment="1">
      <alignment vertical="center"/>
    </xf>
    <xf numFmtId="0" fontId="15" fillId="0" borderId="6" xfId="16" applyFont="1" applyBorder="1" applyAlignment="1">
      <alignment horizontal="center"/>
    </xf>
    <xf numFmtId="0" fontId="20" fillId="0" borderId="2" xfId="21" applyFont="1" applyBorder="1" applyAlignment="1">
      <alignment vertical="center"/>
    </xf>
    <xf numFmtId="0" fontId="20" fillId="0" borderId="0" xfId="21" applyFont="1" applyFill="1" applyBorder="1" applyAlignment="1">
      <alignment vertical="center"/>
    </xf>
    <xf numFmtId="164" fontId="20" fillId="0" borderId="0" xfId="21" applyNumberFormat="1" applyFont="1" applyFill="1" applyBorder="1" applyAlignment="1">
      <alignment vertical="center"/>
    </xf>
    <xf numFmtId="0" fontId="20" fillId="0" borderId="4" xfId="21" applyFont="1" applyBorder="1" applyAlignment="1">
      <alignment vertical="center"/>
    </xf>
    <xf numFmtId="0" fontId="20" fillId="0" borderId="0" xfId="21" applyFont="1" applyAlignment="1">
      <alignment vertical="center"/>
    </xf>
    <xf numFmtId="0" fontId="6" fillId="0" borderId="0" xfId="21" applyNumberFormat="1" applyFont="1" applyFill="1" applyBorder="1" applyAlignment="1">
      <alignment horizontal="center" vertical="center" wrapText="1"/>
    </xf>
    <xf numFmtId="0" fontId="0" fillId="0" borderId="4" xfId="21" applyFont="1" applyBorder="1" applyAlignment="1">
      <alignment vertical="center"/>
    </xf>
    <xf numFmtId="0" fontId="0" fillId="0" borderId="2" xfId="21" applyFont="1" applyFill="1" applyBorder="1" applyAlignment="1">
      <alignment vertical="center"/>
    </xf>
    <xf numFmtId="0" fontId="0" fillId="0" borderId="0" xfId="21" applyFont="1" applyFill="1" applyBorder="1" applyAlignment="1">
      <alignment vertical="center"/>
    </xf>
    <xf numFmtId="0" fontId="1" fillId="0" borderId="23" xfId="21" applyNumberFormat="1" applyFont="1" applyFill="1" applyBorder="1" applyAlignment="1">
      <alignment horizontal="center" vertical="center" wrapText="1"/>
    </xf>
    <xf numFmtId="0" fontId="1" fillId="0" borderId="0" xfId="21" applyNumberFormat="1" applyFont="1" applyFill="1" applyBorder="1" applyAlignment="1">
      <alignment horizontal="center" vertical="center" wrapText="1"/>
    </xf>
    <xf numFmtId="0" fontId="0" fillId="0" borderId="4" xfId="21" applyFont="1" applyFill="1" applyBorder="1" applyAlignment="1">
      <alignment vertical="center"/>
    </xf>
    <xf numFmtId="0" fontId="24" fillId="0" borderId="61" xfId="21" applyFont="1" applyFill="1" applyBorder="1" applyAlignment="1">
      <alignment horizontal="left" vertical="center"/>
    </xf>
    <xf numFmtId="164" fontId="5" fillId="0" borderId="61" xfId="21" applyNumberFormat="1" applyFont="1" applyFill="1" applyBorder="1" applyAlignment="1">
      <alignment vertical="center"/>
    </xf>
    <xf numFmtId="164" fontId="5" fillId="0" borderId="0" xfId="21" applyNumberFormat="1" applyFont="1" applyFill="1" applyBorder="1" applyAlignment="1">
      <alignment vertical="center"/>
    </xf>
    <xf numFmtId="0" fontId="0" fillId="0" borderId="2" xfId="21" applyFont="1" applyBorder="1" applyAlignment="1">
      <alignment vertical="center"/>
    </xf>
    <xf numFmtId="0" fontId="0" fillId="0" borderId="62" xfId="21" applyFont="1" applyFill="1" applyBorder="1" applyAlignment="1">
      <alignment horizontal="left" vertical="center" indent="1"/>
    </xf>
    <xf numFmtId="164" fontId="0" fillId="0" borderId="62" xfId="21" applyNumberFormat="1" applyFont="1" applyFill="1" applyBorder="1" applyAlignment="1">
      <alignment vertical="center"/>
    </xf>
    <xf numFmtId="164" fontId="0" fillId="0" borderId="0" xfId="21" applyNumberFormat="1" applyFont="1" applyFill="1" applyBorder="1" applyAlignment="1">
      <alignment vertical="center"/>
    </xf>
    <xf numFmtId="0" fontId="0" fillId="0" borderId="62" xfId="21" applyFont="1" applyFill="1" applyBorder="1" applyAlignment="1">
      <alignment horizontal="left" vertical="center" indent="2"/>
    </xf>
    <xf numFmtId="164" fontId="0" fillId="0" borderId="4" xfId="21" applyNumberFormat="1" applyFont="1" applyBorder="1" applyAlignment="1">
      <alignment vertical="center"/>
    </xf>
    <xf numFmtId="0" fontId="0" fillId="0" borderId="0" xfId="21" applyFont="1" applyAlignment="1">
      <alignment vertical="center"/>
    </xf>
    <xf numFmtId="0" fontId="0" fillId="0" borderId="63" xfId="21" applyFont="1" applyFill="1" applyBorder="1" applyAlignment="1">
      <alignment horizontal="left" vertical="center" indent="1"/>
    </xf>
    <xf numFmtId="0" fontId="0" fillId="0" borderId="63" xfId="21" applyFont="1" applyFill="1" applyBorder="1" applyAlignment="1">
      <alignment horizontal="left" vertical="center" indent="2"/>
    </xf>
    <xf numFmtId="0" fontId="1" fillId="0" borderId="62" xfId="21" applyFont="1" applyFill="1" applyBorder="1" applyAlignment="1">
      <alignment horizontal="left" vertical="center" indent="1"/>
    </xf>
    <xf numFmtId="164" fontId="1" fillId="0" borderId="62" xfId="21" applyNumberFormat="1" applyFont="1" applyFill="1" applyBorder="1" applyAlignment="1">
      <alignment vertical="center"/>
    </xf>
    <xf numFmtId="0" fontId="0" fillId="0" borderId="4" xfId="21" applyFont="1" applyBorder="1" applyAlignment="1">
      <alignment vertical="center"/>
    </xf>
    <xf numFmtId="0" fontId="15" fillId="0" borderId="6" xfId="16" applyFont="1" applyFill="1" applyBorder="1" applyAlignment="1">
      <alignment horizontal="center"/>
    </xf>
    <xf numFmtId="0" fontId="15" fillId="0" borderId="12" xfId="16" applyFont="1" applyBorder="1" applyAlignment="1">
      <alignment horizontal="center"/>
    </xf>
    <xf numFmtId="0" fontId="13" fillId="0" borderId="0" xfId="16" applyFont="1" applyFill="1" applyBorder="1" applyAlignment="1">
      <alignment/>
    </xf>
    <xf numFmtId="0" fontId="1" fillId="0" borderId="64" xfId="21" applyFont="1" applyFill="1" applyBorder="1" applyAlignment="1">
      <alignment horizontal="left" vertical="center" indent="1"/>
    </xf>
    <xf numFmtId="164" fontId="1" fillId="0" borderId="64" xfId="21" applyNumberFormat="1" applyFont="1" applyFill="1" applyBorder="1" applyAlignment="1">
      <alignment vertical="center"/>
    </xf>
    <xf numFmtId="164" fontId="1" fillId="0" borderId="0" xfId="21" applyNumberFormat="1" applyFont="1" applyFill="1" applyBorder="1" applyAlignment="1">
      <alignment vertical="center"/>
    </xf>
    <xf numFmtId="0" fontId="13" fillId="0" borderId="0" xfId="0" applyFont="1" applyBorder="1" applyAlignment="1">
      <alignment/>
    </xf>
    <xf numFmtId="0" fontId="0" fillId="0" borderId="0" xfId="21" applyFont="1" applyBorder="1" applyAlignment="1">
      <alignment vertical="center"/>
    </xf>
    <xf numFmtId="0" fontId="0" fillId="0" borderId="0" xfId="21" applyFont="1" applyBorder="1" applyAlignment="1">
      <alignment vertical="center"/>
    </xf>
    <xf numFmtId="0" fontId="0" fillId="0" borderId="0" xfId="0" applyBorder="1" applyAlignment="1">
      <alignment/>
    </xf>
    <xf numFmtId="0" fontId="1" fillId="0" borderId="0" xfId="21" applyFont="1" applyFill="1" applyBorder="1" applyAlignment="1">
      <alignment horizontal="left" vertical="center" indent="1"/>
    </xf>
    <xf numFmtId="0" fontId="21" fillId="0" borderId="0" xfId="21" applyFont="1" applyBorder="1" applyAlignment="1">
      <alignment vertical="center"/>
    </xf>
    <xf numFmtId="0" fontId="0" fillId="0" borderId="8" xfId="21" applyFont="1" applyBorder="1" applyAlignment="1">
      <alignment vertical="center"/>
    </xf>
    <xf numFmtId="0" fontId="21" fillId="0" borderId="3" xfId="21" applyFont="1" applyBorder="1" applyAlignment="1">
      <alignment vertical="center"/>
    </xf>
    <xf numFmtId="0" fontId="0" fillId="0" borderId="3" xfId="21" applyFont="1" applyBorder="1" applyAlignment="1">
      <alignment vertical="center"/>
    </xf>
    <xf numFmtId="164" fontId="0" fillId="0" borderId="3" xfId="21" applyNumberFormat="1" applyFont="1" applyFill="1" applyBorder="1" applyAlignment="1">
      <alignment vertical="center"/>
    </xf>
    <xf numFmtId="0" fontId="0" fillId="0" borderId="9" xfId="21" applyFont="1" applyBorder="1" applyAlignment="1">
      <alignment vertical="center"/>
    </xf>
    <xf numFmtId="0" fontId="0" fillId="0" borderId="10" xfId="21" applyFont="1" applyBorder="1" applyAlignment="1">
      <alignment vertical="center"/>
    </xf>
    <xf numFmtId="0" fontId="0" fillId="0" borderId="11" xfId="21" applyFont="1" applyBorder="1" applyAlignment="1">
      <alignment vertical="center"/>
    </xf>
    <xf numFmtId="0" fontId="0" fillId="0" borderId="0" xfId="21" applyFont="1" applyFill="1" applyAlignment="1">
      <alignment vertical="center"/>
    </xf>
    <xf numFmtId="164" fontId="0" fillId="0" borderId="4" xfId="21" applyNumberFormat="1" applyFont="1" applyFill="1" applyBorder="1" applyAlignment="1">
      <alignment vertical="center"/>
    </xf>
    <xf numFmtId="0" fontId="0" fillId="0" borderId="4" xfId="21" applyFont="1" applyFill="1" applyBorder="1" applyAlignment="1">
      <alignment vertical="center"/>
    </xf>
    <xf numFmtId="0" fontId="24" fillId="0" borderId="65" xfId="21" applyFont="1" applyFill="1" applyBorder="1" applyAlignment="1">
      <alignment horizontal="left" vertical="center"/>
    </xf>
    <xf numFmtId="164" fontId="5" fillId="0" borderId="66" xfId="21" applyNumberFormat="1" applyFont="1" applyFill="1" applyBorder="1" applyAlignment="1">
      <alignment vertical="center"/>
    </xf>
    <xf numFmtId="0" fontId="24" fillId="0" borderId="66" xfId="21" applyFont="1" applyFill="1" applyBorder="1" applyAlignment="1">
      <alignment horizontal="left" vertical="center"/>
    </xf>
    <xf numFmtId="0" fontId="0" fillId="0" borderId="67" xfId="21" applyFont="1" applyFill="1" applyBorder="1" applyAlignment="1">
      <alignment horizontal="left" vertical="center" indent="1"/>
    </xf>
    <xf numFmtId="164" fontId="0" fillId="0" borderId="68" xfId="21" applyNumberFormat="1" applyFont="1" applyFill="1" applyBorder="1" applyAlignment="1">
      <alignment vertical="center"/>
    </xf>
    <xf numFmtId="0" fontId="0" fillId="0" borderId="68" xfId="21" applyFont="1" applyFill="1" applyBorder="1" applyAlignment="1">
      <alignment horizontal="left" vertical="center" indent="1"/>
    </xf>
    <xf numFmtId="0" fontId="0" fillId="0" borderId="68" xfId="21" applyFont="1" applyFill="1" applyBorder="1" applyAlignment="1">
      <alignment horizontal="left" vertical="center" indent="2"/>
    </xf>
    <xf numFmtId="0" fontId="0" fillId="0" borderId="69" xfId="21" applyFont="1" applyFill="1" applyBorder="1" applyAlignment="1">
      <alignment horizontal="left" vertical="center" indent="1"/>
    </xf>
    <xf numFmtId="0" fontId="0" fillId="0" borderId="69" xfId="21" applyFont="1" applyFill="1" applyBorder="1" applyAlignment="1">
      <alignment horizontal="left" vertical="center" indent="2"/>
    </xf>
    <xf numFmtId="0" fontId="1" fillId="0" borderId="68" xfId="21" applyFont="1" applyFill="1" applyBorder="1" applyAlignment="1">
      <alignment horizontal="left" vertical="center" indent="1"/>
    </xf>
    <xf numFmtId="164" fontId="1" fillId="0" borderId="68" xfId="21" applyNumberFormat="1" applyFont="1" applyFill="1" applyBorder="1" applyAlignment="1">
      <alignment vertical="center"/>
    </xf>
    <xf numFmtId="0" fontId="0" fillId="0" borderId="70" xfId="21" applyFont="1" applyFill="1" applyBorder="1" applyAlignment="1">
      <alignment horizontal="left" vertical="center" indent="1"/>
    </xf>
    <xf numFmtId="0" fontId="1" fillId="0" borderId="71" xfId="21" applyFont="1" applyFill="1" applyBorder="1" applyAlignment="1">
      <alignment horizontal="left" vertical="center" indent="1"/>
    </xf>
    <xf numFmtId="164" fontId="1" fillId="0" borderId="72" xfId="21" applyNumberFormat="1" applyFont="1" applyFill="1" applyBorder="1" applyAlignment="1">
      <alignment vertical="center"/>
    </xf>
    <xf numFmtId="0" fontId="1" fillId="0" borderId="72" xfId="21" applyFont="1" applyFill="1" applyBorder="1" applyAlignment="1">
      <alignment horizontal="left" vertical="center" indent="1"/>
    </xf>
    <xf numFmtId="0" fontId="21" fillId="0" borderId="0" xfId="21" applyFont="1" applyFill="1" applyBorder="1" applyAlignment="1">
      <alignment vertical="center"/>
    </xf>
    <xf numFmtId="0" fontId="0" fillId="0" borderId="0" xfId="21" applyFont="1" applyFill="1" applyBorder="1" applyAlignment="1">
      <alignment vertical="center"/>
    </xf>
    <xf numFmtId="0" fontId="0" fillId="0" borderId="8" xfId="21" applyFont="1" applyBorder="1" applyAlignment="1">
      <alignment vertical="center"/>
    </xf>
    <xf numFmtId="0" fontId="21" fillId="0" borderId="3" xfId="21" applyFont="1" applyFill="1" applyBorder="1" applyAlignment="1">
      <alignment horizontal="left" vertical="center" wrapText="1"/>
    </xf>
    <xf numFmtId="0" fontId="0" fillId="0" borderId="9" xfId="21" applyFont="1" applyBorder="1" applyAlignment="1">
      <alignment vertical="center"/>
    </xf>
    <xf numFmtId="0" fontId="0" fillId="0" borderId="0" xfId="21" applyFont="1" applyFill="1" applyAlignment="1">
      <alignment vertical="center"/>
    </xf>
    <xf numFmtId="0" fontId="0" fillId="5" borderId="0" xfId="21" applyFont="1" applyFill="1" applyAlignment="1">
      <alignment vertical="center"/>
    </xf>
    <xf numFmtId="0" fontId="0" fillId="0" borderId="8" xfId="21" applyFont="1" applyFill="1" applyBorder="1" applyAlignment="1">
      <alignment vertical="center"/>
    </xf>
    <xf numFmtId="0" fontId="0" fillId="0" borderId="3" xfId="21" applyFont="1" applyFill="1" applyBorder="1" applyAlignment="1">
      <alignment vertical="center"/>
    </xf>
    <xf numFmtId="0" fontId="0" fillId="0" borderId="9" xfId="21" applyFont="1" applyFill="1" applyBorder="1" applyAlignment="1">
      <alignment vertical="center"/>
    </xf>
    <xf numFmtId="0" fontId="0" fillId="0" borderId="3" xfId="21" applyFont="1" applyBorder="1" applyAlignment="1">
      <alignment vertical="center"/>
    </xf>
    <xf numFmtId="0" fontId="3" fillId="0" borderId="0" xfId="0" applyFont="1" applyBorder="1" applyAlignment="1" applyProtection="1">
      <alignment/>
      <protection/>
    </xf>
    <xf numFmtId="0" fontId="3" fillId="0" borderId="4" xfId="0" applyFont="1" applyBorder="1" applyAlignment="1" applyProtection="1">
      <alignment/>
      <protection/>
    </xf>
    <xf numFmtId="0" fontId="0" fillId="0" borderId="11" xfId="0" applyBorder="1" applyAlignment="1" applyProtection="1">
      <alignment/>
      <protection/>
    </xf>
    <xf numFmtId="0" fontId="2" fillId="0" borderId="4" xfId="0" applyFont="1" applyBorder="1" applyAlignment="1" applyProtection="1">
      <alignment/>
      <protection/>
    </xf>
    <xf numFmtId="0" fontId="1" fillId="0" borderId="0" xfId="0" applyFont="1" applyBorder="1" applyAlignment="1" applyProtection="1">
      <alignment/>
      <protection/>
    </xf>
    <xf numFmtId="0" fontId="4" fillId="0" borderId="0" xfId="0" applyFont="1" applyBorder="1" applyAlignment="1" applyProtection="1">
      <alignment/>
      <protection/>
    </xf>
    <xf numFmtId="0" fontId="0" fillId="0" borderId="8" xfId="0" applyFont="1" applyBorder="1" applyAlignment="1" applyProtection="1">
      <alignment/>
      <protection/>
    </xf>
    <xf numFmtId="0" fontId="2" fillId="0" borderId="3" xfId="16" applyFont="1" applyBorder="1" applyAlignment="1" applyProtection="1">
      <alignment/>
      <protection/>
    </xf>
    <xf numFmtId="0" fontId="2" fillId="0" borderId="9" xfId="0" applyFont="1" applyBorder="1" applyAlignment="1" applyProtection="1">
      <alignment/>
      <protection/>
    </xf>
    <xf numFmtId="0" fontId="14" fillId="0" borderId="3" xfId="0" applyFont="1" applyBorder="1" applyAlignment="1" applyProtection="1">
      <alignment horizontal="center"/>
      <protection/>
    </xf>
    <xf numFmtId="0" fontId="23" fillId="0" borderId="3" xfId="0" applyFont="1" applyBorder="1" applyAlignment="1" applyProtection="1">
      <alignment/>
      <protection/>
    </xf>
    <xf numFmtId="0" fontId="2" fillId="0" borderId="3" xfId="0" applyFont="1" applyBorder="1" applyAlignment="1" applyProtection="1">
      <alignment/>
      <protection/>
    </xf>
    <xf numFmtId="165" fontId="3" fillId="2" borderId="0" xfId="22" applyNumberFormat="1" applyFont="1" applyFill="1" applyBorder="1" applyAlignment="1" applyProtection="1">
      <alignment vertical="center"/>
      <protection/>
    </xf>
    <xf numFmtId="3" fontId="0" fillId="0" borderId="0" xfId="0" applyNumberFormat="1" applyBorder="1" applyAlignment="1" applyProtection="1">
      <alignment/>
      <protection locked="0"/>
    </xf>
    <xf numFmtId="0" fontId="0" fillId="0" borderId="0" xfId="0" applyAlignment="1">
      <alignment horizontal="right"/>
    </xf>
    <xf numFmtId="179" fontId="0" fillId="0" borderId="0" xfId="0" applyNumberFormat="1" applyAlignment="1">
      <alignment horizontal="right"/>
    </xf>
    <xf numFmtId="0" fontId="1" fillId="0" borderId="0" xfId="0" applyFont="1" applyAlignment="1">
      <alignment/>
    </xf>
    <xf numFmtId="0" fontId="1" fillId="0" borderId="0" xfId="0" applyFont="1" applyAlignment="1">
      <alignment horizontal="right"/>
    </xf>
    <xf numFmtId="179" fontId="1" fillId="0" borderId="0" xfId="0" applyNumberFormat="1" applyFont="1" applyAlignment="1">
      <alignment horizontal="right"/>
    </xf>
    <xf numFmtId="3" fontId="1" fillId="0" borderId="0" xfId="0" applyNumberFormat="1" applyFont="1" applyAlignment="1">
      <alignment horizontal="right"/>
    </xf>
    <xf numFmtId="3" fontId="0" fillId="0" borderId="0" xfId="0" applyNumberFormat="1" applyAlignment="1">
      <alignment/>
    </xf>
    <xf numFmtId="4" fontId="0" fillId="0" borderId="0" xfId="0" applyNumberFormat="1" applyAlignment="1">
      <alignment/>
    </xf>
    <xf numFmtId="3" fontId="0" fillId="0" borderId="0" xfId="0" applyNumberFormat="1" applyAlignment="1">
      <alignment horizontal="right"/>
    </xf>
    <xf numFmtId="0" fontId="36" fillId="0" borderId="0" xfId="0" applyFont="1" applyAlignment="1">
      <alignment/>
    </xf>
    <xf numFmtId="3" fontId="36" fillId="0" borderId="0" xfId="0" applyNumberFormat="1" applyFont="1" applyAlignment="1">
      <alignment horizontal="right"/>
    </xf>
    <xf numFmtId="0" fontId="36" fillId="0" borderId="0" xfId="0" applyFont="1" applyAlignment="1">
      <alignment horizontal="right"/>
    </xf>
    <xf numFmtId="10" fontId="0" fillId="0" borderId="0" xfId="0" applyNumberFormat="1" applyAlignment="1">
      <alignment/>
    </xf>
    <xf numFmtId="0" fontId="0" fillId="0" borderId="0" xfId="0" applyFont="1" applyAlignment="1">
      <alignment horizontal="right"/>
    </xf>
    <xf numFmtId="185" fontId="0" fillId="0" borderId="0" xfId="19" applyNumberFormat="1" applyAlignment="1">
      <alignment/>
    </xf>
    <xf numFmtId="166" fontId="0" fillId="0" borderId="0" xfId="19" applyNumberFormat="1" applyAlignment="1">
      <alignment/>
    </xf>
    <xf numFmtId="0" fontId="0" fillId="0" borderId="0" xfId="0" applyAlignment="1">
      <alignment horizontal="center" wrapText="1"/>
    </xf>
    <xf numFmtId="0" fontId="1" fillId="0" borderId="0" xfId="0" applyFont="1" applyAlignment="1">
      <alignment horizontal="center" wrapText="1"/>
    </xf>
    <xf numFmtId="166" fontId="1" fillId="0" borderId="0" xfId="19" applyNumberFormat="1" applyFont="1" applyAlignment="1">
      <alignment/>
    </xf>
    <xf numFmtId="185" fontId="1" fillId="0" borderId="0" xfId="19" applyNumberFormat="1" applyFont="1" applyAlignment="1">
      <alignment/>
    </xf>
    <xf numFmtId="168" fontId="0" fillId="0" borderId="0" xfId="0" applyNumberFormat="1" applyAlignment="1">
      <alignment/>
    </xf>
    <xf numFmtId="1" fontId="0" fillId="0" borderId="0" xfId="0" applyNumberFormat="1" applyAlignment="1">
      <alignment/>
    </xf>
    <xf numFmtId="166" fontId="0" fillId="0" borderId="0" xfId="0" applyNumberFormat="1" applyAlignment="1">
      <alignment/>
    </xf>
    <xf numFmtId="3" fontId="0" fillId="0" borderId="3" xfId="0" applyNumberFormat="1" applyFill="1" applyBorder="1" applyAlignment="1" applyProtection="1">
      <alignment/>
      <protection/>
    </xf>
    <xf numFmtId="0" fontId="5" fillId="0" borderId="0" xfId="0" applyFont="1" applyAlignment="1">
      <alignment horizontal="right"/>
    </xf>
    <xf numFmtId="0" fontId="0" fillId="0" borderId="0" xfId="0" applyFont="1" applyFill="1" applyAlignment="1" applyProtection="1">
      <alignment horizontal="right"/>
      <protection/>
    </xf>
    <xf numFmtId="3" fontId="0" fillId="0" borderId="0" xfId="0" applyNumberFormat="1" applyFont="1" applyFill="1" applyAlignment="1" applyProtection="1">
      <alignment horizontal="right"/>
      <protection/>
    </xf>
    <xf numFmtId="172" fontId="0" fillId="2" borderId="3" xfId="0" applyNumberFormat="1" applyFont="1" applyFill="1" applyBorder="1" applyAlignment="1" applyProtection="1">
      <alignment/>
      <protection/>
    </xf>
    <xf numFmtId="165" fontId="13" fillId="0" borderId="4" xfId="22" applyNumberFormat="1" applyFont="1" applyFill="1" applyBorder="1" applyAlignment="1" applyProtection="1">
      <alignment horizontal="center" vertical="center"/>
      <protection/>
    </xf>
    <xf numFmtId="0" fontId="26" fillId="0" borderId="9" xfId="0" applyFont="1" applyFill="1" applyBorder="1" applyAlignment="1" applyProtection="1">
      <alignment horizontal="center" vertical="center"/>
      <protection/>
    </xf>
    <xf numFmtId="0" fontId="13" fillId="0" borderId="4" xfId="0" applyFont="1" applyFill="1" applyBorder="1" applyAlignment="1" applyProtection="1">
      <alignment horizontal="center"/>
      <protection/>
    </xf>
    <xf numFmtId="167" fontId="13" fillId="0" borderId="4" xfId="0" applyNumberFormat="1" applyFont="1" applyFill="1" applyBorder="1" applyAlignment="1" applyProtection="1">
      <alignment horizontal="center"/>
      <protection/>
    </xf>
    <xf numFmtId="0" fontId="44" fillId="0" borderId="4" xfId="0" applyFont="1" applyFill="1" applyBorder="1" applyAlignment="1" applyProtection="1">
      <alignment horizontal="center" vertical="center"/>
      <protection/>
    </xf>
    <xf numFmtId="0" fontId="13" fillId="0" borderId="4" xfId="19" applyNumberFormat="1" applyFont="1" applyFill="1" applyBorder="1" applyAlignment="1" applyProtection="1">
      <alignment horizontal="center"/>
      <protection/>
    </xf>
    <xf numFmtId="0" fontId="13" fillId="0" borderId="4" xfId="0" applyFont="1" applyFill="1" applyBorder="1" applyAlignment="1" applyProtection="1">
      <alignment/>
      <protection/>
    </xf>
    <xf numFmtId="165" fontId="63" fillId="0" borderId="3" xfId="22" applyNumberFormat="1" applyFont="1" applyFill="1" applyBorder="1" applyAlignment="1" applyProtection="1">
      <alignment horizontal="center" vertical="center"/>
      <protection/>
    </xf>
    <xf numFmtId="0" fontId="63" fillId="0" borderId="4" xfId="0" applyFont="1" applyFill="1" applyBorder="1" applyAlignment="1" applyProtection="1">
      <alignment horizontal="center" vertical="center"/>
      <protection/>
    </xf>
    <xf numFmtId="167" fontId="13" fillId="0" borderId="4" xfId="22" applyNumberFormat="1" applyFont="1" applyBorder="1" applyAlignment="1" applyProtection="1">
      <alignment horizontal="center"/>
      <protection/>
    </xf>
    <xf numFmtId="165" fontId="13" fillId="0" borderId="4" xfId="22" applyNumberFormat="1" applyFont="1" applyBorder="1" applyAlignment="1" applyProtection="1">
      <alignment horizontal="center"/>
      <protection/>
    </xf>
    <xf numFmtId="165" fontId="13" fillId="0" borderId="4" xfId="22" applyNumberFormat="1" applyFont="1" applyFill="1" applyBorder="1" applyAlignment="1" applyProtection="1">
      <alignment horizontal="center"/>
      <protection/>
    </xf>
    <xf numFmtId="167" fontId="2" fillId="0" borderId="4" xfId="0" applyNumberFormat="1" applyFont="1" applyBorder="1" applyAlignment="1" applyProtection="1">
      <alignment horizontal="center"/>
      <protection/>
    </xf>
    <xf numFmtId="0" fontId="63" fillId="0" borderId="3" xfId="0" applyFont="1" applyFill="1" applyBorder="1" applyAlignment="1" applyProtection="1">
      <alignment horizontal="center" vertical="center"/>
      <protection/>
    </xf>
    <xf numFmtId="164" fontId="2" fillId="2" borderId="3" xfId="0" applyNumberFormat="1" applyFont="1" applyFill="1" applyBorder="1" applyAlignment="1" applyProtection="1">
      <alignment vertical="center" wrapText="1"/>
      <protection/>
    </xf>
    <xf numFmtId="0" fontId="28" fillId="4" borderId="8" xfId="0" applyFont="1" applyFill="1" applyBorder="1" applyAlignment="1" applyProtection="1">
      <alignment horizontal="center" vertical="center"/>
      <protection/>
    </xf>
    <xf numFmtId="3" fontId="0" fillId="0" borderId="0" xfId="0" applyNumberFormat="1" applyFill="1" applyAlignment="1" applyProtection="1">
      <alignment/>
      <protection locked="0"/>
    </xf>
    <xf numFmtId="166" fontId="0" fillId="0" borderId="0" xfId="21" applyNumberFormat="1" applyFont="1" applyBorder="1" applyAlignment="1" applyProtection="1">
      <alignment vertical="center"/>
      <protection/>
    </xf>
    <xf numFmtId="0" fontId="13" fillId="0" borderId="0" xfId="0" applyFont="1" applyBorder="1" applyAlignment="1" applyProtection="1">
      <alignment horizontal="left" vertical="center" wrapText="1"/>
      <protection/>
    </xf>
    <xf numFmtId="0" fontId="13" fillId="0" borderId="7" xfId="16" applyFont="1" applyFill="1" applyBorder="1" applyAlignment="1" applyProtection="1">
      <alignment/>
      <protection/>
    </xf>
    <xf numFmtId="0" fontId="39" fillId="2" borderId="0" xfId="0" applyFont="1" applyFill="1" applyAlignment="1" applyProtection="1">
      <alignment/>
      <protection/>
    </xf>
    <xf numFmtId="0" fontId="39" fillId="0" borderId="0" xfId="0" applyFont="1" applyAlignment="1" applyProtection="1">
      <alignment/>
      <protection/>
    </xf>
    <xf numFmtId="0" fontId="39" fillId="0" borderId="0" xfId="21" applyFont="1" applyAlignment="1" applyProtection="1">
      <alignment vertical="center"/>
      <protection locked="0"/>
    </xf>
    <xf numFmtId="0" fontId="39" fillId="0" borderId="0" xfId="21" applyFont="1" applyBorder="1" applyAlignment="1" applyProtection="1">
      <alignment vertical="center"/>
      <protection/>
    </xf>
    <xf numFmtId="0" fontId="39" fillId="0" borderId="0" xfId="0" applyFont="1" applyAlignment="1" applyProtection="1">
      <alignment/>
      <protection locked="0"/>
    </xf>
    <xf numFmtId="164" fontId="39" fillId="0" borderId="0" xfId="0" applyNumberFormat="1" applyFont="1" applyFill="1" applyBorder="1" applyAlignment="1" applyProtection="1">
      <alignment horizontal="left" vertical="center"/>
      <protection/>
    </xf>
    <xf numFmtId="0" fontId="39" fillId="0" borderId="3" xfId="0" applyFont="1" applyFill="1" applyBorder="1" applyAlignment="1" applyProtection="1">
      <alignment/>
      <protection/>
    </xf>
    <xf numFmtId="0" fontId="39" fillId="0" borderId="3" xfId="0" applyFont="1" applyBorder="1" applyAlignment="1" applyProtection="1">
      <alignment/>
      <protection/>
    </xf>
    <xf numFmtId="0" fontId="40" fillId="0" borderId="7" xfId="0" applyFont="1" applyBorder="1" applyAlignment="1" applyProtection="1">
      <alignment vertical="center"/>
      <protection/>
    </xf>
    <xf numFmtId="0" fontId="40" fillId="0" borderId="0" xfId="0" applyFont="1" applyBorder="1" applyAlignment="1" applyProtection="1">
      <alignment vertical="center"/>
      <protection/>
    </xf>
    <xf numFmtId="0" fontId="11" fillId="0" borderId="3" xfId="0" applyFont="1" applyBorder="1" applyAlignment="1" applyProtection="1">
      <alignment horizontal="left"/>
      <protection/>
    </xf>
    <xf numFmtId="0" fontId="11" fillId="0" borderId="0" xfId="0" applyFont="1" applyBorder="1" applyAlignment="1" applyProtection="1">
      <alignment horizontal="left"/>
      <protection/>
    </xf>
    <xf numFmtId="0" fontId="2" fillId="0" borderId="12" xfId="0" applyFont="1" applyBorder="1" applyAlignment="1" applyProtection="1">
      <alignment/>
      <protection/>
    </xf>
    <xf numFmtId="0" fontId="0" fillId="0" borderId="10" xfId="0" applyBorder="1" applyAlignment="1" applyProtection="1">
      <alignment/>
      <protection/>
    </xf>
    <xf numFmtId="0" fontId="0" fillId="0" borderId="9" xfId="0" applyFill="1" applyBorder="1" applyAlignment="1" applyProtection="1">
      <alignment/>
      <protection/>
    </xf>
    <xf numFmtId="0" fontId="10" fillId="2" borderId="11" xfId="0" applyFont="1" applyFill="1" applyBorder="1" applyAlignment="1" applyProtection="1">
      <alignment horizontal="left"/>
      <protection/>
    </xf>
    <xf numFmtId="0" fontId="10" fillId="2" borderId="4" xfId="0" applyFont="1" applyFill="1" applyBorder="1" applyAlignment="1" applyProtection="1">
      <alignment horizontal="left"/>
      <protection/>
    </xf>
    <xf numFmtId="164" fontId="10" fillId="2" borderId="4" xfId="0" applyNumberFormat="1" applyFont="1" applyFill="1" applyBorder="1" applyAlignment="1" applyProtection="1">
      <alignment horizontal="center" vertical="top" wrapText="1"/>
      <protection/>
    </xf>
    <xf numFmtId="0" fontId="2" fillId="2" borderId="4" xfId="0" applyFont="1" applyFill="1" applyBorder="1" applyAlignment="1" applyProtection="1">
      <alignment/>
      <protection/>
    </xf>
    <xf numFmtId="172" fontId="2" fillId="2" borderId="4" xfId="0" applyNumberFormat="1" applyFont="1" applyFill="1" applyBorder="1" applyAlignment="1" applyProtection="1">
      <alignment/>
      <protection/>
    </xf>
    <xf numFmtId="0" fontId="2" fillId="2" borderId="4" xfId="0" applyFont="1" applyFill="1" applyBorder="1" applyAlignment="1" applyProtection="1">
      <alignment wrapText="1"/>
      <protection/>
    </xf>
    <xf numFmtId="172" fontId="10" fillId="2" borderId="4" xfId="0" applyNumberFormat="1" applyFont="1" applyFill="1" applyBorder="1" applyAlignment="1" applyProtection="1">
      <alignment horizontal="right"/>
      <protection/>
    </xf>
    <xf numFmtId="172" fontId="4" fillId="2" borderId="4" xfId="0" applyNumberFormat="1" applyFont="1" applyFill="1" applyBorder="1" applyAlignment="1" applyProtection="1">
      <alignment/>
      <protection/>
    </xf>
    <xf numFmtId="172" fontId="59" fillId="2" borderId="4" xfId="0" applyNumberFormat="1" applyFont="1" applyFill="1" applyBorder="1" applyAlignment="1" applyProtection="1">
      <alignment/>
      <protection/>
    </xf>
    <xf numFmtId="172" fontId="10" fillId="2" borderId="4" xfId="0" applyNumberFormat="1" applyFont="1" applyFill="1" applyBorder="1" applyAlignment="1" applyProtection="1">
      <alignment/>
      <protection/>
    </xf>
    <xf numFmtId="172" fontId="2" fillId="2" borderId="4" xfId="0" applyNumberFormat="1" applyFont="1" applyFill="1" applyBorder="1" applyAlignment="1" applyProtection="1">
      <alignment horizontal="right"/>
      <protection/>
    </xf>
    <xf numFmtId="172" fontId="2" fillId="2" borderId="4" xfId="0" applyNumberFormat="1" applyFont="1" applyFill="1" applyBorder="1" applyAlignment="1" applyProtection="1">
      <alignment vertical="top"/>
      <protection/>
    </xf>
    <xf numFmtId="172" fontId="10" fillId="2" borderId="4" xfId="0" applyNumberFormat="1" applyFont="1" applyFill="1" applyBorder="1" applyAlignment="1" applyProtection="1">
      <alignment vertical="top"/>
      <protection/>
    </xf>
    <xf numFmtId="0" fontId="2" fillId="0" borderId="13" xfId="0" applyFont="1" applyFill="1" applyBorder="1" applyAlignment="1" applyProtection="1">
      <alignment/>
      <protection/>
    </xf>
    <xf numFmtId="172" fontId="10" fillId="2" borderId="9" xfId="0" applyNumberFormat="1" applyFont="1" applyFill="1" applyBorder="1" applyAlignment="1" applyProtection="1">
      <alignment vertical="top"/>
      <protection/>
    </xf>
    <xf numFmtId="171" fontId="0" fillId="0" borderId="0" xfId="0" applyNumberFormat="1" applyAlignment="1" applyProtection="1">
      <alignment/>
      <protection/>
    </xf>
    <xf numFmtId="0" fontId="0" fillId="0" borderId="9" xfId="0" applyBorder="1" applyAlignment="1" applyProtection="1">
      <alignment vertical="top"/>
      <protection/>
    </xf>
    <xf numFmtId="0" fontId="0" fillId="0" borderId="7" xfId="0" applyBorder="1" applyAlignment="1" applyProtection="1">
      <alignment horizontal="center"/>
      <protection/>
    </xf>
    <xf numFmtId="165" fontId="0" fillId="0" borderId="7" xfId="22" applyNumberFormat="1" applyBorder="1" applyAlignment="1" applyProtection="1">
      <alignment horizontal="center"/>
      <protection/>
    </xf>
    <xf numFmtId="0" fontId="1" fillId="0" borderId="7" xfId="0" applyFont="1" applyFill="1" applyBorder="1" applyAlignment="1" applyProtection="1">
      <alignment horizontal="left"/>
      <protection/>
    </xf>
    <xf numFmtId="165" fontId="4" fillId="0" borderId="0" xfId="22" applyNumberFormat="1" applyFont="1" applyBorder="1" applyAlignment="1" applyProtection="1" quotePrefix="1">
      <alignment horizontal="center"/>
      <protection/>
    </xf>
    <xf numFmtId="0" fontId="0" fillId="0" borderId="4" xfId="0" applyBorder="1" applyAlignment="1" applyProtection="1">
      <alignment/>
      <protection locked="0"/>
    </xf>
    <xf numFmtId="0" fontId="36" fillId="0" borderId="4" xfId="0" applyFont="1" applyBorder="1" applyAlignment="1" applyProtection="1">
      <alignment/>
      <protection locked="0"/>
    </xf>
    <xf numFmtId="0" fontId="0" fillId="0" borderId="4" xfId="0" applyFont="1" applyBorder="1" applyAlignment="1" applyProtection="1">
      <alignment/>
      <protection locked="0"/>
    </xf>
    <xf numFmtId="167" fontId="1" fillId="0" borderId="31" xfId="21" applyNumberFormat="1" applyFont="1" applyFill="1" applyBorder="1" applyAlignment="1" applyProtection="1">
      <alignment vertical="center"/>
      <protection/>
    </xf>
    <xf numFmtId="172" fontId="2" fillId="0" borderId="13" xfId="19" applyNumberFormat="1" applyFont="1" applyFill="1" applyBorder="1" applyAlignment="1" applyProtection="1" quotePrefix="1">
      <alignment horizontal="right"/>
      <protection/>
    </xf>
    <xf numFmtId="0" fontId="1" fillId="2" borderId="0" xfId="0" applyFont="1" applyFill="1" applyBorder="1" applyAlignment="1" applyProtection="1">
      <alignment/>
      <protection/>
    </xf>
    <xf numFmtId="0" fontId="0" fillId="0" borderId="0" xfId="0" applyBorder="1" applyAlignment="1" applyProtection="1">
      <alignment horizontal="center"/>
      <protection locked="0"/>
    </xf>
    <xf numFmtId="165" fontId="0" fillId="0" borderId="0" xfId="22" applyNumberFormat="1" applyBorder="1" applyAlignment="1" applyProtection="1">
      <alignment horizontal="center"/>
      <protection locked="0"/>
    </xf>
    <xf numFmtId="0" fontId="36" fillId="2" borderId="0" xfId="0" applyFont="1" applyFill="1" applyBorder="1" applyAlignment="1" applyProtection="1">
      <alignment/>
      <protection/>
    </xf>
    <xf numFmtId="0" fontId="0" fillId="0" borderId="3" xfId="0" applyBorder="1" applyAlignment="1" applyProtection="1">
      <alignment horizontal="center"/>
      <protection locked="0"/>
    </xf>
    <xf numFmtId="165" fontId="0" fillId="0" borderId="3" xfId="22" applyNumberFormat="1" applyBorder="1" applyAlignment="1" applyProtection="1">
      <alignment horizontal="center"/>
      <protection locked="0"/>
    </xf>
    <xf numFmtId="0" fontId="1" fillId="0" borderId="9" xfId="0" applyFont="1" applyBorder="1" applyAlignment="1" applyProtection="1">
      <alignment/>
      <protection locked="0"/>
    </xf>
    <xf numFmtId="0" fontId="0" fillId="0" borderId="7" xfId="0" applyFill="1" applyBorder="1" applyAlignment="1" applyProtection="1">
      <alignment horizontal="left"/>
      <protection/>
    </xf>
    <xf numFmtId="3" fontId="2" fillId="0" borderId="3" xfId="0" applyNumberFormat="1" applyFont="1" applyFill="1" applyBorder="1" applyAlignment="1" applyProtection="1">
      <alignment horizontal="center"/>
      <protection/>
    </xf>
    <xf numFmtId="165" fontId="2" fillId="0" borderId="3" xfId="22" applyNumberFormat="1" applyFont="1" applyBorder="1" applyAlignment="1" applyProtection="1">
      <alignment horizontal="center"/>
      <protection/>
    </xf>
    <xf numFmtId="164" fontId="0" fillId="0" borderId="25" xfId="21" applyNumberFormat="1" applyFont="1" applyBorder="1" applyAlignment="1" applyProtection="1">
      <alignment vertical="center"/>
      <protection/>
    </xf>
    <xf numFmtId="166" fontId="0" fillId="0" borderId="25" xfId="21" applyNumberFormat="1" applyFont="1" applyBorder="1" applyAlignment="1" applyProtection="1">
      <alignment vertical="center"/>
      <protection/>
    </xf>
    <xf numFmtId="166" fontId="0" fillId="0" borderId="21" xfId="21" applyNumberFormat="1" applyFont="1" applyBorder="1" applyAlignment="1" applyProtection="1">
      <alignment vertical="center"/>
      <protection/>
    </xf>
    <xf numFmtId="164" fontId="0" fillId="0" borderId="25" xfId="21" applyNumberFormat="1" applyFont="1" applyFill="1" applyBorder="1" applyAlignment="1" applyProtection="1">
      <alignment horizontal="left" vertical="center" indent="1"/>
      <protection/>
    </xf>
    <xf numFmtId="0" fontId="0" fillId="0" borderId="37" xfId="21" applyFont="1" applyBorder="1" applyAlignment="1" applyProtection="1">
      <alignment vertical="center"/>
      <protection locked="0"/>
    </xf>
    <xf numFmtId="0" fontId="0" fillId="0" borderId="21" xfId="21" applyFont="1" applyFill="1" applyBorder="1" applyAlignment="1" applyProtection="1">
      <alignment vertical="center"/>
      <protection locked="0"/>
    </xf>
    <xf numFmtId="0" fontId="0" fillId="0" borderId="37" xfId="21" applyFont="1" applyFill="1" applyBorder="1" applyAlignment="1" applyProtection="1">
      <alignment vertical="center"/>
      <protection locked="0"/>
    </xf>
    <xf numFmtId="0" fontId="20" fillId="0" borderId="3" xfId="21"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20" fillId="0" borderId="3" xfId="21" applyFont="1" applyFill="1" applyBorder="1" applyAlignment="1" applyProtection="1">
      <alignment vertical="center"/>
      <protection/>
    </xf>
    <xf numFmtId="9" fontId="2" fillId="0" borderId="0" xfId="22" applyNumberFormat="1" applyFont="1" applyFill="1" applyBorder="1" applyAlignment="1" applyProtection="1">
      <alignment horizontal="center"/>
      <protection/>
    </xf>
    <xf numFmtId="0" fontId="3" fillId="2" borderId="4" xfId="0" applyFont="1" applyFill="1" applyBorder="1" applyAlignment="1" applyProtection="1">
      <alignment horizontal="center" vertical="center"/>
      <protection locked="0"/>
    </xf>
    <xf numFmtId="0" fontId="0" fillId="0" borderId="4" xfId="0" applyFill="1" applyBorder="1" applyAlignment="1" applyProtection="1">
      <alignment/>
      <protection locked="0"/>
    </xf>
    <xf numFmtId="0" fontId="0" fillId="0" borderId="4" xfId="0" applyFont="1" applyFill="1" applyBorder="1" applyAlignment="1" applyProtection="1">
      <alignment/>
      <protection locked="0"/>
    </xf>
    <xf numFmtId="0" fontId="0" fillId="2" borderId="4" xfId="0" applyFont="1" applyFill="1" applyBorder="1" applyAlignment="1" applyProtection="1">
      <alignment/>
      <protection locked="0"/>
    </xf>
    <xf numFmtId="0" fontId="47" fillId="2" borderId="4" xfId="0" applyFont="1" applyFill="1" applyBorder="1" applyAlignment="1" applyProtection="1">
      <alignment/>
      <protection locked="0"/>
    </xf>
    <xf numFmtId="0" fontId="3" fillId="2" borderId="11" xfId="0" applyFont="1" applyFill="1" applyBorder="1" applyAlignment="1" applyProtection="1">
      <alignment horizontal="center" vertical="center"/>
      <protection locked="0"/>
    </xf>
    <xf numFmtId="0" fontId="0" fillId="0" borderId="9" xfId="0" applyBorder="1" applyAlignment="1" applyProtection="1">
      <alignment/>
      <protection locked="0"/>
    </xf>
    <xf numFmtId="0" fontId="2" fillId="0" borderId="6" xfId="0" applyFont="1" applyBorder="1" applyAlignment="1" applyProtection="1">
      <alignment/>
      <protection/>
    </xf>
    <xf numFmtId="0" fontId="17" fillId="0" borderId="43" xfId="21" applyFont="1" applyBorder="1" applyAlignment="1" applyProtection="1">
      <alignment horizontal="center" vertical="center"/>
      <protection/>
    </xf>
    <xf numFmtId="0" fontId="17" fillId="0" borderId="73" xfId="21" applyFont="1" applyBorder="1" applyAlignment="1" applyProtection="1">
      <alignment horizontal="center" vertical="center"/>
      <protection/>
    </xf>
    <xf numFmtId="0" fontId="17" fillId="0" borderId="33" xfId="21" applyFont="1" applyBorder="1" applyAlignment="1" applyProtection="1">
      <alignment horizontal="center" vertical="center"/>
      <protection/>
    </xf>
    <xf numFmtId="0" fontId="17" fillId="0" borderId="0" xfId="21" applyFont="1" applyBorder="1" applyAlignment="1" applyProtection="1">
      <alignment horizontal="center" vertical="center"/>
      <protection/>
    </xf>
    <xf numFmtId="0" fontId="10" fillId="0" borderId="7" xfId="0" applyFont="1" applyBorder="1" applyAlignment="1" applyProtection="1">
      <alignment horizontal="left"/>
      <protection/>
    </xf>
    <xf numFmtId="0" fontId="10" fillId="0" borderId="0" xfId="0" applyFont="1" applyBorder="1" applyAlignment="1" applyProtection="1">
      <alignment horizontal="left"/>
      <protection/>
    </xf>
    <xf numFmtId="0" fontId="11" fillId="0" borderId="3" xfId="0" applyFont="1" applyBorder="1" applyAlignment="1" applyProtection="1">
      <alignment horizontal="left"/>
      <protection/>
    </xf>
    <xf numFmtId="0" fontId="2" fillId="0" borderId="0" xfId="0" applyFont="1" applyFill="1" applyBorder="1" applyAlignment="1" applyProtection="1">
      <alignment horizontal="left" indent="2"/>
      <protection/>
    </xf>
    <xf numFmtId="0" fontId="11" fillId="0" borderId="0" xfId="0" applyFont="1" applyBorder="1" applyAlignment="1" applyProtection="1">
      <alignment horizontal="left"/>
      <protection/>
    </xf>
    <xf numFmtId="0" fontId="36" fillId="0" borderId="0" xfId="21" applyFont="1" applyBorder="1" applyAlignment="1" applyProtection="1">
      <alignment horizontal="left" vertical="center" wrapText="1"/>
      <protection/>
    </xf>
    <xf numFmtId="0" fontId="6" fillId="3" borderId="74" xfId="21" applyNumberFormat="1" applyFont="1" applyFill="1" applyBorder="1" applyAlignment="1" applyProtection="1">
      <alignment horizontal="center" vertical="center" wrapText="1"/>
      <protection/>
    </xf>
    <xf numFmtId="0" fontId="6" fillId="3" borderId="44" xfId="21" applyNumberFormat="1" applyFont="1" applyFill="1" applyBorder="1" applyAlignment="1" applyProtection="1">
      <alignment horizontal="center" vertical="center" wrapText="1"/>
      <protection/>
    </xf>
    <xf numFmtId="0" fontId="6" fillId="3" borderId="17" xfId="21" applyNumberFormat="1" applyFont="1" applyFill="1" applyBorder="1" applyAlignment="1" applyProtection="1">
      <alignment horizontal="center" vertical="center" wrapText="1"/>
      <protection/>
    </xf>
    <xf numFmtId="0" fontId="19" fillId="0" borderId="33" xfId="21" applyFont="1" applyBorder="1" applyAlignment="1" applyProtection="1">
      <alignment horizontal="center" vertical="center"/>
      <protection/>
    </xf>
    <xf numFmtId="0" fontId="19" fillId="0" borderId="0" xfId="21" applyFont="1" applyBorder="1" applyAlignment="1" applyProtection="1">
      <alignment horizontal="center" vertical="center"/>
      <protection/>
    </xf>
    <xf numFmtId="0" fontId="6" fillId="3" borderId="40" xfId="21" applyNumberFormat="1" applyFont="1" applyFill="1" applyBorder="1" applyAlignment="1" applyProtection="1">
      <alignment horizontal="center" vertical="center" wrapText="1"/>
      <protection/>
    </xf>
    <xf numFmtId="0" fontId="6" fillId="3" borderId="39" xfId="21" applyNumberFormat="1" applyFont="1" applyFill="1" applyBorder="1" applyAlignment="1" applyProtection="1">
      <alignment horizontal="center" vertical="center" wrapText="1"/>
      <protection/>
    </xf>
    <xf numFmtId="0" fontId="17" fillId="0" borderId="75" xfId="21" applyFont="1" applyBorder="1" applyAlignment="1" applyProtection="1">
      <alignment horizontal="center" vertical="center"/>
      <protection/>
    </xf>
    <xf numFmtId="0" fontId="10" fillId="0" borderId="50" xfId="0" applyFont="1" applyFill="1" applyBorder="1" applyAlignment="1" applyProtection="1">
      <alignment wrapText="1"/>
      <protection/>
    </xf>
    <xf numFmtId="0" fontId="10" fillId="0" borderId="13" xfId="0" applyFont="1" applyFill="1" applyBorder="1" applyAlignment="1" applyProtection="1">
      <alignment wrapText="1"/>
      <protection/>
    </xf>
    <xf numFmtId="0" fontId="10" fillId="0" borderId="2" xfId="0" applyFont="1" applyFill="1" applyBorder="1" applyAlignment="1" applyProtection="1">
      <alignment wrapText="1"/>
      <protection/>
    </xf>
    <xf numFmtId="0" fontId="10" fillId="0" borderId="0" xfId="0" applyFont="1" applyFill="1" applyBorder="1" applyAlignment="1" applyProtection="1">
      <alignment wrapText="1"/>
      <protection/>
    </xf>
    <xf numFmtId="0" fontId="10" fillId="0" borderId="50" xfId="0" applyFont="1" applyBorder="1" applyAlignment="1" applyProtection="1">
      <alignment wrapText="1"/>
      <protection/>
    </xf>
    <xf numFmtId="0" fontId="0" fillId="0" borderId="13" xfId="0" applyBorder="1" applyAlignment="1" applyProtection="1">
      <alignment/>
      <protection/>
    </xf>
    <xf numFmtId="0" fontId="48" fillId="0" borderId="0" xfId="0" applyFont="1" applyFill="1" applyBorder="1" applyAlignment="1" applyProtection="1">
      <alignment horizontal="center" vertical="center" wrapText="1"/>
      <protection/>
    </xf>
    <xf numFmtId="0" fontId="48" fillId="0" borderId="3" xfId="0" applyFont="1" applyFill="1" applyBorder="1" applyAlignment="1" applyProtection="1">
      <alignment horizontal="center" vertical="center" wrapText="1"/>
      <protection/>
    </xf>
    <xf numFmtId="0" fontId="38" fillId="0" borderId="0" xfId="0" applyFont="1" applyFill="1" applyBorder="1" applyAlignment="1" applyProtection="1">
      <alignment horizontal="left" vertical="top" wrapText="1"/>
      <protection/>
    </xf>
    <xf numFmtId="0" fontId="2" fillId="0" borderId="0" xfId="0" applyFont="1" applyBorder="1" applyAlignment="1" applyProtection="1">
      <alignment horizontal="left"/>
      <protection/>
    </xf>
    <xf numFmtId="0" fontId="3" fillId="0" borderId="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4" xfId="0" applyFont="1" applyBorder="1" applyAlignment="1" applyProtection="1">
      <alignment horizontal="center"/>
      <protection/>
    </xf>
    <xf numFmtId="0" fontId="14" fillId="0" borderId="10" xfId="0" applyFont="1" applyBorder="1" applyAlignment="1" applyProtection="1">
      <alignment horizontal="center"/>
      <protection/>
    </xf>
    <xf numFmtId="0" fontId="14" fillId="0" borderId="11" xfId="0" applyFont="1" applyBorder="1" applyAlignment="1" applyProtection="1">
      <alignment horizontal="center"/>
      <protection/>
    </xf>
    <xf numFmtId="0" fontId="25" fillId="0" borderId="2" xfId="0" applyFont="1" applyFill="1" applyBorder="1" applyAlignment="1" applyProtection="1">
      <alignment horizontal="center"/>
      <protection/>
    </xf>
    <xf numFmtId="0" fontId="25" fillId="0" borderId="4" xfId="0" applyFont="1" applyFill="1" applyBorder="1" applyAlignment="1" applyProtection="1">
      <alignment horizontal="center"/>
      <protection/>
    </xf>
    <xf numFmtId="0" fontId="0" fillId="0" borderId="0" xfId="0" applyFill="1" applyBorder="1" applyAlignment="1" applyProtection="1">
      <alignment horizontal="center"/>
      <protection locked="0"/>
    </xf>
    <xf numFmtId="0" fontId="3" fillId="2" borderId="0" xfId="0" applyFont="1" applyFill="1" applyBorder="1" applyAlignment="1" applyProtection="1">
      <alignment horizontal="center" vertical="center"/>
      <protection/>
    </xf>
    <xf numFmtId="0" fontId="3" fillId="2" borderId="10" xfId="0" applyFont="1" applyFill="1" applyBorder="1" applyAlignment="1" applyProtection="1">
      <alignment horizontal="center" vertical="center"/>
      <protection/>
    </xf>
    <xf numFmtId="0" fontId="3" fillId="2" borderId="7" xfId="0" applyFont="1" applyFill="1" applyBorder="1" applyAlignment="1" applyProtection="1">
      <alignment horizontal="center" vertical="center"/>
      <protection/>
    </xf>
    <xf numFmtId="0" fontId="3" fillId="2" borderId="11" xfId="0" applyFont="1" applyFill="1" applyBorder="1" applyAlignment="1" applyProtection="1">
      <alignment horizontal="center" vertical="center"/>
      <protection/>
    </xf>
    <xf numFmtId="0" fontId="0" fillId="0" borderId="3" xfId="0" applyFill="1" applyBorder="1" applyAlignment="1" applyProtection="1">
      <alignment horizontal="center"/>
      <protection locked="0"/>
    </xf>
    <xf numFmtId="0" fontId="2" fillId="0" borderId="2" xfId="0" applyFont="1" applyFill="1" applyBorder="1" applyAlignment="1" applyProtection="1">
      <alignment wrapText="1"/>
      <protection/>
    </xf>
    <xf numFmtId="0" fontId="2" fillId="0" borderId="0" xfId="0" applyFont="1" applyFill="1" applyBorder="1" applyAlignment="1" applyProtection="1">
      <alignment wrapText="1"/>
      <protection/>
    </xf>
    <xf numFmtId="0" fontId="17" fillId="0" borderId="14" xfId="21" applyFont="1" applyBorder="1" applyAlignment="1" applyProtection="1">
      <alignment horizontal="center" vertical="center"/>
      <protection/>
    </xf>
    <xf numFmtId="0" fontId="54" fillId="2" borderId="10" xfId="0" applyFont="1" applyFill="1" applyBorder="1" applyAlignment="1" applyProtection="1">
      <alignment horizontal="center" vertical="center"/>
      <protection/>
    </xf>
    <xf numFmtId="0" fontId="54" fillId="2" borderId="7" xfId="0" applyFont="1" applyFill="1" applyBorder="1" applyAlignment="1" applyProtection="1">
      <alignment horizontal="center" vertical="center"/>
      <protection/>
    </xf>
    <xf numFmtId="0" fontId="54" fillId="2" borderId="11" xfId="0" applyFont="1" applyFill="1" applyBorder="1" applyAlignment="1" applyProtection="1">
      <alignment horizontal="center" vertical="center"/>
      <protection/>
    </xf>
    <xf numFmtId="0" fontId="47" fillId="0" borderId="24" xfId="21" applyNumberFormat="1" applyFont="1" applyFill="1" applyBorder="1" applyAlignment="1" applyProtection="1">
      <alignment horizontal="center" vertical="center" wrapText="1"/>
      <protection/>
    </xf>
    <xf numFmtId="0" fontId="47" fillId="0" borderId="27" xfId="21" applyNumberFormat="1" applyFont="1" applyFill="1" applyBorder="1" applyAlignment="1" applyProtection="1">
      <alignment horizontal="center" vertical="center" wrapText="1"/>
      <protection/>
    </xf>
    <xf numFmtId="0" fontId="24" fillId="0" borderId="18" xfId="21" applyFont="1" applyFill="1" applyBorder="1" applyAlignment="1" applyProtection="1">
      <alignment horizontal="left" vertical="center"/>
      <protection/>
    </xf>
    <xf numFmtId="0" fontId="24" fillId="0" borderId="30" xfId="21" applyFont="1" applyFill="1" applyBorder="1" applyAlignment="1" applyProtection="1">
      <alignment horizontal="left" vertical="center"/>
      <protection/>
    </xf>
    <xf numFmtId="0" fontId="0" fillId="0" borderId="37" xfId="21" applyFont="1" applyFill="1" applyBorder="1" applyAlignment="1" applyProtection="1">
      <alignment vertical="center" wrapText="1"/>
      <protection/>
    </xf>
    <xf numFmtId="0" fontId="0" fillId="0" borderId="0" xfId="0" applyAlignment="1" applyProtection="1">
      <alignment vertical="center"/>
      <protection/>
    </xf>
    <xf numFmtId="0" fontId="3" fillId="0" borderId="2" xfId="0" applyFont="1" applyBorder="1" applyAlignment="1" applyProtection="1">
      <alignment horizontal="center"/>
      <protection/>
    </xf>
    <xf numFmtId="0" fontId="3" fillId="0" borderId="0" xfId="0" applyFont="1" applyBorder="1" applyAlignment="1" applyProtection="1">
      <alignment horizontal="center"/>
      <protection/>
    </xf>
    <xf numFmtId="0" fontId="1" fillId="0" borderId="0" xfId="21" applyFont="1" applyFill="1" applyBorder="1" applyAlignment="1" applyProtection="1">
      <alignment horizontal="center" vertical="center"/>
      <protection/>
    </xf>
    <xf numFmtId="0" fontId="25" fillId="0" borderId="0" xfId="0" applyFont="1" applyFill="1" applyBorder="1" applyAlignment="1" applyProtection="1">
      <alignment horizontal="center"/>
      <protection/>
    </xf>
    <xf numFmtId="0" fontId="14" fillId="0" borderId="0" xfId="0" applyFont="1" applyBorder="1" applyAlignment="1" applyProtection="1">
      <alignment horizontal="center"/>
      <protection/>
    </xf>
    <xf numFmtId="0" fontId="23" fillId="0" borderId="5" xfId="0" applyFont="1" applyBorder="1" applyAlignment="1" applyProtection="1">
      <alignment horizontal="center"/>
      <protection/>
    </xf>
    <xf numFmtId="0" fontId="23" fillId="0" borderId="6" xfId="0" applyFont="1" applyBorder="1" applyAlignment="1" applyProtection="1">
      <alignment horizontal="center"/>
      <protection/>
    </xf>
    <xf numFmtId="0" fontId="23" fillId="0" borderId="12" xfId="0" applyFont="1" applyBorder="1" applyAlignment="1" applyProtection="1">
      <alignment horizontal="center"/>
      <protection/>
    </xf>
    <xf numFmtId="0" fontId="6" fillId="3" borderId="22" xfId="21" applyFont="1" applyFill="1" applyBorder="1" applyAlignment="1" applyProtection="1">
      <alignment horizontal="left" vertical="center" wrapText="1"/>
      <protection/>
    </xf>
    <xf numFmtId="0" fontId="6" fillId="3" borderId="23" xfId="21" applyFont="1" applyFill="1" applyBorder="1" applyAlignment="1" applyProtection="1">
      <alignment horizontal="left" vertical="center" wrapText="1"/>
      <protection/>
    </xf>
    <xf numFmtId="0" fontId="36" fillId="0" borderId="0" xfId="21" applyFont="1" applyBorder="1" applyAlignment="1" applyProtection="1" quotePrefix="1">
      <alignment horizontal="left" vertical="center" wrapText="1"/>
      <protection/>
    </xf>
    <xf numFmtId="0" fontId="6" fillId="3" borderId="76" xfId="21" applyNumberFormat="1" applyFont="1" applyFill="1" applyBorder="1" applyAlignment="1" applyProtection="1">
      <alignment horizontal="center" vertical="center" wrapText="1"/>
      <protection/>
    </xf>
    <xf numFmtId="0" fontId="47" fillId="0" borderId="24" xfId="21" applyNumberFormat="1" applyFont="1" applyFill="1" applyBorder="1" applyAlignment="1" applyProtection="1">
      <alignment horizontal="center" vertical="center" wrapText="1"/>
      <protection/>
    </xf>
    <xf numFmtId="0" fontId="47" fillId="0" borderId="27" xfId="21" applyNumberFormat="1" applyFont="1" applyFill="1" applyBorder="1" applyAlignment="1" applyProtection="1">
      <alignment horizontal="center" vertical="center" wrapText="1"/>
      <protection/>
    </xf>
    <xf numFmtId="0" fontId="54" fillId="2" borderId="2" xfId="0" applyFont="1" applyFill="1" applyBorder="1" applyAlignment="1" applyProtection="1">
      <alignment horizontal="center" vertical="center"/>
      <protection/>
    </xf>
    <xf numFmtId="0" fontId="54" fillId="2" borderId="0" xfId="0" applyFont="1" applyFill="1" applyBorder="1" applyAlignment="1" applyProtection="1">
      <alignment horizontal="center" vertical="center"/>
      <protection/>
    </xf>
    <xf numFmtId="0" fontId="54" fillId="2" borderId="4" xfId="0" applyFont="1" applyFill="1" applyBorder="1" applyAlignment="1" applyProtection="1">
      <alignment horizontal="center" vertical="center"/>
      <protection/>
    </xf>
    <xf numFmtId="0" fontId="19" fillId="2" borderId="33" xfId="21" applyFont="1" applyFill="1" applyBorder="1" applyAlignment="1" applyProtection="1">
      <alignment horizontal="center" vertical="center"/>
      <protection/>
    </xf>
    <xf numFmtId="0" fontId="19" fillId="2" borderId="0" xfId="21" applyFont="1" applyFill="1" applyBorder="1" applyAlignment="1" applyProtection="1">
      <alignment horizontal="center" vertical="center"/>
      <protection/>
    </xf>
    <xf numFmtId="0" fontId="6" fillId="3" borderId="22" xfId="21" applyFont="1" applyFill="1" applyBorder="1" applyAlignment="1" applyProtection="1">
      <alignment horizontal="left" vertical="center"/>
      <protection/>
    </xf>
    <xf numFmtId="0" fontId="6" fillId="3" borderId="23" xfId="21" applyFont="1" applyFill="1" applyBorder="1" applyAlignment="1" applyProtection="1">
      <alignment horizontal="left" vertical="center"/>
      <protection/>
    </xf>
    <xf numFmtId="0" fontId="57" fillId="0" borderId="33" xfId="21" applyFont="1" applyBorder="1" applyAlignment="1" applyProtection="1">
      <alignment horizontal="center" vertical="center"/>
      <protection/>
    </xf>
    <xf numFmtId="0" fontId="57" fillId="0" borderId="0" xfId="21" applyFont="1" applyBorder="1" applyAlignment="1" applyProtection="1">
      <alignment horizontal="center" vertical="center"/>
      <protection/>
    </xf>
    <xf numFmtId="0" fontId="47" fillId="0" borderId="25" xfId="21" applyNumberFormat="1" applyFont="1" applyFill="1" applyBorder="1" applyAlignment="1" applyProtection="1">
      <alignment horizontal="center" vertical="center" wrapText="1"/>
      <protection/>
    </xf>
    <xf numFmtId="0" fontId="6" fillId="3" borderId="22" xfId="21" applyFont="1" applyFill="1" applyBorder="1" applyAlignment="1" applyProtection="1">
      <alignment horizontal="left" vertical="center" wrapText="1"/>
      <protection/>
    </xf>
    <xf numFmtId="0" fontId="6" fillId="3" borderId="23" xfId="21" applyFont="1" applyFill="1" applyBorder="1" applyAlignment="1" applyProtection="1">
      <alignment horizontal="left" vertical="center" wrapText="1"/>
      <protection/>
    </xf>
    <xf numFmtId="0" fontId="24" fillId="2" borderId="33" xfId="21" applyFont="1" applyFill="1" applyBorder="1" applyAlignment="1" applyProtection="1">
      <alignment horizontal="left" vertical="center"/>
      <protection/>
    </xf>
    <xf numFmtId="0" fontId="24" fillId="2" borderId="0" xfId="21" applyFont="1" applyFill="1" applyBorder="1" applyAlignment="1" applyProtection="1">
      <alignment horizontal="left" vertical="center"/>
      <protection/>
    </xf>
    <xf numFmtId="0" fontId="36" fillId="0" borderId="0" xfId="21" applyFont="1" applyBorder="1" applyAlignment="1" applyProtection="1" quotePrefix="1">
      <alignment horizontal="left" vertical="center" wrapText="1"/>
      <protection/>
    </xf>
    <xf numFmtId="0" fontId="6" fillId="3" borderId="22" xfId="21" applyFont="1" applyFill="1" applyBorder="1" applyAlignment="1" applyProtection="1">
      <alignment horizontal="left" vertical="center"/>
      <protection/>
    </xf>
    <xf numFmtId="0" fontId="6" fillId="3" borderId="23" xfId="21" applyFont="1" applyFill="1" applyBorder="1" applyAlignment="1" applyProtection="1">
      <alignment horizontal="left" vertical="center"/>
      <protection/>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19" fillId="0" borderId="0" xfId="21" applyFont="1" applyBorder="1" applyAlignment="1">
      <alignment horizontal="center" vertical="center"/>
    </xf>
    <xf numFmtId="0" fontId="17" fillId="0" borderId="7" xfId="21" applyFont="1" applyBorder="1" applyAlignment="1">
      <alignment horizontal="center" vertical="center"/>
    </xf>
    <xf numFmtId="0" fontId="17" fillId="0" borderId="0" xfId="21" applyFont="1" applyBorder="1" applyAlignment="1">
      <alignment horizontal="center" vertical="center"/>
    </xf>
    <xf numFmtId="0" fontId="6" fillId="3" borderId="74" xfId="21" applyNumberFormat="1" applyFont="1" applyFill="1" applyBorder="1" applyAlignment="1">
      <alignment horizontal="center" vertical="center" wrapText="1"/>
    </xf>
    <xf numFmtId="0" fontId="6" fillId="3" borderId="17" xfId="21" applyNumberFormat="1" applyFont="1" applyFill="1" applyBorder="1" applyAlignment="1">
      <alignment horizontal="center" vertical="center" wrapText="1"/>
    </xf>
    <xf numFmtId="0" fontId="21" fillId="0" borderId="0" xfId="21" applyFont="1" applyFill="1" applyBorder="1" applyAlignment="1">
      <alignment horizontal="left" vertical="center" wrapText="1"/>
    </xf>
    <xf numFmtId="0" fontId="6" fillId="3" borderId="44" xfId="21" applyNumberFormat="1" applyFont="1" applyFill="1" applyBorder="1" applyAlignment="1">
      <alignment horizontal="center" vertical="center" wrapText="1"/>
    </xf>
  </cellXfs>
  <cellStyles count="11">
    <cellStyle name="Normal" xfId="0"/>
    <cellStyle name="******************************************" xfId="15"/>
    <cellStyle name="Hyperlink" xfId="16"/>
    <cellStyle name="Followed Hyperlink" xfId="17"/>
    <cellStyle name="ColumnHeading" xfId="18"/>
    <cellStyle name="Comma" xfId="19"/>
    <cellStyle name="Comma [0]" xfId="20"/>
    <cellStyle name="Normale_Restatement_TIGroup_2006_results"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5.png" /><Relationship Id="rId3" Type="http://schemas.openxmlformats.org/officeDocument/2006/relationships/image" Target="../media/image6.emf" /><Relationship Id="rId4" Type="http://schemas.openxmlformats.org/officeDocument/2006/relationships/image" Target="../media/image8.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1</xdr:row>
      <xdr:rowOff>95250</xdr:rowOff>
    </xdr:from>
    <xdr:to>
      <xdr:col>6</xdr:col>
      <xdr:colOff>114300</xdr:colOff>
      <xdr:row>5</xdr:row>
      <xdr:rowOff>85725</xdr:rowOff>
    </xdr:to>
    <xdr:pic>
      <xdr:nvPicPr>
        <xdr:cNvPr id="1" name="Picture 3"/>
        <xdr:cNvPicPr preferRelativeResize="1">
          <a:picLocks noChangeAspect="1"/>
        </xdr:cNvPicPr>
      </xdr:nvPicPr>
      <xdr:blipFill>
        <a:blip r:embed="rId1"/>
        <a:stretch>
          <a:fillRect/>
        </a:stretch>
      </xdr:blipFill>
      <xdr:spPr>
        <a:xfrm>
          <a:off x="3400425" y="161925"/>
          <a:ext cx="19145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85725</xdr:colOff>
      <xdr:row>21</xdr:row>
      <xdr:rowOff>57150</xdr:rowOff>
    </xdr:from>
    <xdr:to>
      <xdr:col>28</xdr:col>
      <xdr:colOff>1962150</xdr:colOff>
      <xdr:row>24</xdr:row>
      <xdr:rowOff>76200</xdr:rowOff>
    </xdr:to>
    <xdr:pic>
      <xdr:nvPicPr>
        <xdr:cNvPr id="1" name="ToggleButton1"/>
        <xdr:cNvPicPr preferRelativeResize="1">
          <a:picLocks noChangeAspect="1"/>
        </xdr:cNvPicPr>
      </xdr:nvPicPr>
      <xdr:blipFill>
        <a:blip r:embed="rId1"/>
        <a:stretch>
          <a:fillRect/>
        </a:stretch>
      </xdr:blipFill>
      <xdr:spPr>
        <a:xfrm>
          <a:off x="12211050" y="3609975"/>
          <a:ext cx="2000250" cy="504825"/>
        </a:xfrm>
        <a:prstGeom prst="rect">
          <a:avLst/>
        </a:prstGeom>
        <a:noFill/>
        <a:ln w="9525" cmpd="sng">
          <a:noFill/>
        </a:ln>
      </xdr:spPr>
    </xdr:pic>
    <xdr:clientData/>
  </xdr:twoCellAnchor>
  <xdr:oneCellAnchor>
    <xdr:from>
      <xdr:col>9</xdr:col>
      <xdr:colOff>495300</xdr:colOff>
      <xdr:row>1</xdr:row>
      <xdr:rowOff>76200</xdr:rowOff>
    </xdr:from>
    <xdr:ext cx="3276600" cy="238125"/>
    <xdr:sp>
      <xdr:nvSpPr>
        <xdr:cNvPr id="2" name="Rectangle 2"/>
        <xdr:cNvSpPr>
          <a:spLocks/>
        </xdr:cNvSpPr>
      </xdr:nvSpPr>
      <xdr:spPr>
        <a:xfrm>
          <a:off x="3686175" y="238125"/>
          <a:ext cx="3276600" cy="238125"/>
        </a:xfrm>
        <a:prstGeom prst="rect">
          <a:avLst/>
        </a:prstGeom>
        <a:noFill/>
        <a:ln w="9525" cmpd="sng">
          <a:noFill/>
        </a:ln>
      </xdr:spPr>
      <xdr:txBody>
        <a:bodyPr vertOverflow="clip" wrap="square">
          <a:spAutoFit/>
        </a:bodyPr>
        <a:p>
          <a:pPr algn="ctr">
            <a:defRPr/>
          </a:pPr>
          <a:r>
            <a:rPr lang="en-US" cap="none" sz="1200" b="1" i="0" u="none" baseline="0">
              <a:latin typeface="Arial"/>
              <a:ea typeface="Arial"/>
              <a:cs typeface="Arial"/>
            </a:rPr>
            <a:t>Domestic Mobile Results - Reported Figures</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9525</xdr:colOff>
      <xdr:row>21</xdr:row>
      <xdr:rowOff>47625</xdr:rowOff>
    </xdr:from>
    <xdr:to>
      <xdr:col>32</xdr:col>
      <xdr:colOff>9525</xdr:colOff>
      <xdr:row>25</xdr:row>
      <xdr:rowOff>0</xdr:rowOff>
    </xdr:to>
    <xdr:pic>
      <xdr:nvPicPr>
        <xdr:cNvPr id="1" name="ToggleButton1"/>
        <xdr:cNvPicPr preferRelativeResize="1">
          <a:picLocks noChangeAspect="1"/>
        </xdr:cNvPicPr>
      </xdr:nvPicPr>
      <xdr:blipFill>
        <a:blip r:embed="rId1"/>
        <a:stretch>
          <a:fillRect/>
        </a:stretch>
      </xdr:blipFill>
      <xdr:spPr>
        <a:xfrm>
          <a:off x="13706475" y="3552825"/>
          <a:ext cx="2000250" cy="504825"/>
        </a:xfrm>
        <a:prstGeom prst="rect">
          <a:avLst/>
        </a:prstGeom>
        <a:noFill/>
        <a:ln w="9525" cmpd="sng">
          <a:noFill/>
        </a:ln>
      </xdr:spPr>
    </xdr:pic>
    <xdr:clientData/>
  </xdr:twoCellAnchor>
  <xdr:oneCellAnchor>
    <xdr:from>
      <xdr:col>10</xdr:col>
      <xdr:colOff>257175</xdr:colOff>
      <xdr:row>1</xdr:row>
      <xdr:rowOff>38100</xdr:rowOff>
    </xdr:from>
    <xdr:ext cx="2828925" cy="238125"/>
    <xdr:sp>
      <xdr:nvSpPr>
        <xdr:cNvPr id="2" name="Rectangle 2"/>
        <xdr:cNvSpPr>
          <a:spLocks/>
        </xdr:cNvSpPr>
      </xdr:nvSpPr>
      <xdr:spPr>
        <a:xfrm>
          <a:off x="3981450" y="200025"/>
          <a:ext cx="2828925" cy="238125"/>
        </a:xfrm>
        <a:prstGeom prst="rect">
          <a:avLst/>
        </a:prstGeom>
        <a:noFill/>
        <a:ln w="9525" cmpd="sng">
          <a:noFill/>
        </a:ln>
      </xdr:spPr>
      <xdr:txBody>
        <a:bodyPr vertOverflow="clip" wrap="square">
          <a:spAutoFit/>
        </a:bodyPr>
        <a:p>
          <a:pPr algn="ctr">
            <a:defRPr/>
          </a:pPr>
          <a:r>
            <a:rPr lang="en-US" cap="none" sz="1200" b="1" i="0" u="none" baseline="0">
              <a:latin typeface="Arial"/>
              <a:ea typeface="Arial"/>
              <a:cs typeface="Arial"/>
            </a:rPr>
            <a:t> TIM Brasil Results - Reported Figures</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xdr:row>
      <xdr:rowOff>142875</xdr:rowOff>
    </xdr:from>
    <xdr:ext cx="2152650" cy="295275"/>
    <xdr:sp>
      <xdr:nvSpPr>
        <xdr:cNvPr id="1" name="Rectangle 2"/>
        <xdr:cNvSpPr>
          <a:spLocks/>
        </xdr:cNvSpPr>
      </xdr:nvSpPr>
      <xdr:spPr>
        <a:xfrm>
          <a:off x="5038725" y="304800"/>
          <a:ext cx="2152650" cy="295275"/>
        </a:xfrm>
        <a:prstGeom prst="rect">
          <a:avLst/>
        </a:prstGeom>
        <a:solidFill>
          <a:srgbClr val="FFFFFF"/>
        </a:solidFill>
        <a:ln w="9525" cmpd="sng">
          <a:noFill/>
        </a:ln>
      </xdr:spPr>
      <xdr:txBody>
        <a:bodyPr vertOverflow="clip" wrap="square">
          <a:spAutoFit/>
        </a:bodyPr>
        <a:p>
          <a:pPr algn="ctr">
            <a:defRPr/>
          </a:pPr>
          <a:r>
            <a:rPr lang="en-US" cap="none" sz="1600" b="1" i="0" u="none" baseline="0">
              <a:latin typeface="Arial"/>
              <a:ea typeface="Arial"/>
              <a:cs typeface="Arial"/>
            </a:rPr>
            <a:t>European Broadband</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0</xdr:row>
      <xdr:rowOff>0</xdr:rowOff>
    </xdr:from>
    <xdr:to>
      <xdr:col>8</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0</xdr:row>
      <xdr:rowOff>0</xdr:rowOff>
    </xdr:from>
    <xdr:to>
      <xdr:col>8</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038600"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038600"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038600" y="0"/>
          <a:ext cx="1533525" cy="0"/>
        </a:xfrm>
        <a:prstGeom prst="rect">
          <a:avLst/>
        </a:prstGeom>
        <a:noFill/>
        <a:ln w="9525" cmpd="sng">
          <a:noFill/>
        </a:ln>
      </xdr:spPr>
    </xdr:pic>
    <xdr:clientData/>
  </xdr:twoCellAnchor>
  <xdr:twoCellAnchor>
    <xdr:from>
      <xdr:col>16</xdr:col>
      <xdr:colOff>57150</xdr:colOff>
      <xdr:row>5</xdr:row>
      <xdr:rowOff>85725</xdr:rowOff>
    </xdr:from>
    <xdr:to>
      <xdr:col>16</xdr:col>
      <xdr:colOff>1228725</xdr:colOff>
      <xdr:row>6</xdr:row>
      <xdr:rowOff>104775</xdr:rowOff>
    </xdr:to>
    <xdr:sp>
      <xdr:nvSpPr>
        <xdr:cNvPr id="4" name="AutoShape 6"/>
        <xdr:cNvSpPr>
          <a:spLocks/>
        </xdr:cNvSpPr>
      </xdr:nvSpPr>
      <xdr:spPr>
        <a:xfrm>
          <a:off x="10296525" y="1971675"/>
          <a:ext cx="1171575" cy="514350"/>
        </a:xfrm>
        <a:prstGeom prst="wedgeRectCallout">
          <a:avLst>
            <a:gd name="adj1" fmla="val 43495"/>
            <a:gd name="adj2" fmla="val 118518"/>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Termination M-F and agreement with OLO </a:t>
          </a:r>
          <a:r>
            <a:rPr lang="en-US" cap="none" sz="1000" b="1" i="0" u="none" baseline="0">
              <a:latin typeface="Arial"/>
              <a:ea typeface="Arial"/>
              <a:cs typeface="Arial"/>
            </a:rPr>
            <a:t> 24m€</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0</xdr:row>
      <xdr:rowOff>0</xdr:rowOff>
    </xdr:from>
    <xdr:to>
      <xdr:col>8</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038600"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038600"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038600" y="0"/>
          <a:ext cx="1533525" cy="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0</xdr:row>
      <xdr:rowOff>0</xdr:rowOff>
    </xdr:from>
    <xdr:to>
      <xdr:col>5</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800475" y="0"/>
          <a:ext cx="1543050" cy="0"/>
        </a:xfrm>
        <a:prstGeom prst="rect">
          <a:avLst/>
        </a:prstGeom>
        <a:noFill/>
        <a:ln w="9525" cmpd="sng">
          <a:noFill/>
        </a:ln>
      </xdr:spPr>
    </xdr:pic>
    <xdr:clientData/>
  </xdr:twoCellAnchor>
  <xdr:twoCellAnchor>
    <xdr:from>
      <xdr:col>4</xdr:col>
      <xdr:colOff>1009650</xdr:colOff>
      <xdr:row>0</xdr:row>
      <xdr:rowOff>0</xdr:rowOff>
    </xdr:from>
    <xdr:to>
      <xdr:col>5</xdr:col>
      <xdr:colOff>0</xdr:colOff>
      <xdr:row>0</xdr:row>
      <xdr:rowOff>0</xdr:rowOff>
    </xdr:to>
    <xdr:pic>
      <xdr:nvPicPr>
        <xdr:cNvPr id="2" name="Picture 3"/>
        <xdr:cNvPicPr preferRelativeResize="1">
          <a:picLocks noChangeAspect="1"/>
        </xdr:cNvPicPr>
      </xdr:nvPicPr>
      <xdr:blipFill>
        <a:blip r:embed="rId1"/>
        <a:stretch>
          <a:fillRect/>
        </a:stretch>
      </xdr:blipFill>
      <xdr:spPr>
        <a:xfrm>
          <a:off x="3800475" y="0"/>
          <a:ext cx="1543050" cy="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0</xdr:row>
      <xdr:rowOff>0</xdr:rowOff>
    </xdr:from>
    <xdr:to>
      <xdr:col>5</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5267325" y="0"/>
          <a:ext cx="2447925" cy="0"/>
        </a:xfrm>
        <a:prstGeom prst="rect">
          <a:avLst/>
        </a:prstGeom>
        <a:noFill/>
        <a:ln w="9525" cmpd="sng">
          <a:noFill/>
        </a:ln>
      </xdr:spPr>
    </xdr:pic>
    <xdr:clientData/>
  </xdr:twoCellAnchor>
  <xdr:twoCellAnchor>
    <xdr:from>
      <xdr:col>4</xdr:col>
      <xdr:colOff>1009650</xdr:colOff>
      <xdr:row>0</xdr:row>
      <xdr:rowOff>0</xdr:rowOff>
    </xdr:from>
    <xdr:to>
      <xdr:col>5</xdr:col>
      <xdr:colOff>0</xdr:colOff>
      <xdr:row>0</xdr:row>
      <xdr:rowOff>0</xdr:rowOff>
    </xdr:to>
    <xdr:pic>
      <xdr:nvPicPr>
        <xdr:cNvPr id="2" name="Picture 3"/>
        <xdr:cNvPicPr preferRelativeResize="1">
          <a:picLocks noChangeAspect="1"/>
        </xdr:cNvPicPr>
      </xdr:nvPicPr>
      <xdr:blipFill>
        <a:blip r:embed="rId1"/>
        <a:stretch>
          <a:fillRect/>
        </a:stretch>
      </xdr:blipFill>
      <xdr:spPr>
        <a:xfrm>
          <a:off x="5267325" y="0"/>
          <a:ext cx="2447925" cy="0"/>
        </a:xfrm>
        <a:prstGeom prst="rect">
          <a:avLst/>
        </a:prstGeom>
        <a:noFill/>
        <a:ln w="9525" cmpd="sng">
          <a:noFill/>
        </a:ln>
      </xdr:spPr>
    </xdr:pic>
    <xdr:clientData/>
  </xdr:twoCellAnchor>
  <xdr:twoCellAnchor editAs="oneCell">
    <xdr:from>
      <xdr:col>2</xdr:col>
      <xdr:colOff>514350</xdr:colOff>
      <xdr:row>15</xdr:row>
      <xdr:rowOff>104775</xdr:rowOff>
    </xdr:from>
    <xdr:to>
      <xdr:col>2</xdr:col>
      <xdr:colOff>1485900</xdr:colOff>
      <xdr:row>18</xdr:row>
      <xdr:rowOff>114300</xdr:rowOff>
    </xdr:to>
    <xdr:pic>
      <xdr:nvPicPr>
        <xdr:cNvPr id="3" name="Picture 6"/>
        <xdr:cNvPicPr preferRelativeResize="1">
          <a:picLocks noChangeAspect="1"/>
        </xdr:cNvPicPr>
      </xdr:nvPicPr>
      <xdr:blipFill>
        <a:blip r:embed="rId2"/>
        <a:stretch>
          <a:fillRect/>
        </a:stretch>
      </xdr:blipFill>
      <xdr:spPr>
        <a:xfrm>
          <a:off x="714375" y="2571750"/>
          <a:ext cx="971550" cy="495300"/>
        </a:xfrm>
        <a:prstGeom prst="rect">
          <a:avLst/>
        </a:prstGeom>
        <a:noFill/>
        <a:ln w="9525" cmpd="sng">
          <a:noFill/>
        </a:ln>
      </xdr:spPr>
    </xdr:pic>
    <xdr:clientData/>
  </xdr:twoCellAnchor>
  <xdr:twoCellAnchor>
    <xdr:from>
      <xdr:col>2</xdr:col>
      <xdr:colOff>457200</xdr:colOff>
      <xdr:row>23</xdr:row>
      <xdr:rowOff>57150</xdr:rowOff>
    </xdr:from>
    <xdr:to>
      <xdr:col>2</xdr:col>
      <xdr:colOff>1533525</xdr:colOff>
      <xdr:row>26</xdr:row>
      <xdr:rowOff>66675</xdr:rowOff>
    </xdr:to>
    <xdr:pic>
      <xdr:nvPicPr>
        <xdr:cNvPr id="4" name="Picture 7"/>
        <xdr:cNvPicPr preferRelativeResize="1">
          <a:picLocks noChangeAspect="1"/>
        </xdr:cNvPicPr>
      </xdr:nvPicPr>
      <xdr:blipFill>
        <a:blip r:embed="rId3"/>
        <a:srcRect l="19287" t="71766" r="59049" b="16166"/>
        <a:stretch>
          <a:fillRect/>
        </a:stretch>
      </xdr:blipFill>
      <xdr:spPr>
        <a:xfrm>
          <a:off x="657225" y="3819525"/>
          <a:ext cx="1076325" cy="495300"/>
        </a:xfrm>
        <a:prstGeom prst="rect">
          <a:avLst/>
        </a:prstGeom>
        <a:noFill/>
        <a:ln w="19050" cmpd="sng">
          <a:noFill/>
        </a:ln>
      </xdr:spPr>
    </xdr:pic>
    <xdr:clientData/>
  </xdr:twoCellAnchor>
  <xdr:twoCellAnchor editAs="oneCell">
    <xdr:from>
      <xdr:col>2</xdr:col>
      <xdr:colOff>428625</xdr:colOff>
      <xdr:row>6</xdr:row>
      <xdr:rowOff>95250</xdr:rowOff>
    </xdr:from>
    <xdr:to>
      <xdr:col>2</xdr:col>
      <xdr:colOff>1905000</xdr:colOff>
      <xdr:row>9</xdr:row>
      <xdr:rowOff>123825</xdr:rowOff>
    </xdr:to>
    <xdr:pic>
      <xdr:nvPicPr>
        <xdr:cNvPr id="5" name="Picture 8"/>
        <xdr:cNvPicPr preferRelativeResize="1">
          <a:picLocks noChangeAspect="1"/>
        </xdr:cNvPicPr>
      </xdr:nvPicPr>
      <xdr:blipFill>
        <a:blip r:embed="rId4"/>
        <a:stretch>
          <a:fillRect/>
        </a:stretch>
      </xdr:blipFill>
      <xdr:spPr>
        <a:xfrm>
          <a:off x="628650" y="1104900"/>
          <a:ext cx="1476375" cy="5143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13</xdr:row>
      <xdr:rowOff>38100</xdr:rowOff>
    </xdr:from>
    <xdr:to>
      <xdr:col>2</xdr:col>
      <xdr:colOff>2600325</xdr:colOff>
      <xdr:row>14</xdr:row>
      <xdr:rowOff>28575</xdr:rowOff>
    </xdr:to>
    <xdr:pic>
      <xdr:nvPicPr>
        <xdr:cNvPr id="1" name="CheckBox1"/>
        <xdr:cNvPicPr preferRelativeResize="1">
          <a:picLocks noChangeAspect="1"/>
        </xdr:cNvPicPr>
      </xdr:nvPicPr>
      <xdr:blipFill>
        <a:blip r:embed="rId1"/>
        <a:stretch>
          <a:fillRect/>
        </a:stretch>
      </xdr:blipFill>
      <xdr:spPr>
        <a:xfrm>
          <a:off x="285750" y="2095500"/>
          <a:ext cx="2571750" cy="352425"/>
        </a:xfrm>
        <a:prstGeom prst="rect">
          <a:avLst/>
        </a:prstGeom>
        <a:noFill/>
        <a:ln w="9525" cmpd="sng">
          <a:noFill/>
        </a:ln>
      </xdr:spPr>
    </xdr:pic>
    <xdr:clientData/>
  </xdr:twoCellAnchor>
  <xdr:twoCellAnchor editAs="oneCell">
    <xdr:from>
      <xdr:col>2</xdr:col>
      <xdr:colOff>85725</xdr:colOff>
      <xdr:row>1</xdr:row>
      <xdr:rowOff>76200</xdr:rowOff>
    </xdr:from>
    <xdr:to>
      <xdr:col>2</xdr:col>
      <xdr:colOff>2000250</xdr:colOff>
      <xdr:row>5</xdr:row>
      <xdr:rowOff>66675</xdr:rowOff>
    </xdr:to>
    <xdr:pic>
      <xdr:nvPicPr>
        <xdr:cNvPr id="2" name="Picture 1"/>
        <xdr:cNvPicPr preferRelativeResize="1">
          <a:picLocks noChangeAspect="1"/>
        </xdr:cNvPicPr>
      </xdr:nvPicPr>
      <xdr:blipFill>
        <a:blip r:embed="rId2"/>
        <a:stretch>
          <a:fillRect/>
        </a:stretch>
      </xdr:blipFill>
      <xdr:spPr>
        <a:xfrm>
          <a:off x="342900" y="142875"/>
          <a:ext cx="1914525" cy="638175"/>
        </a:xfrm>
        <a:prstGeom prst="rect">
          <a:avLst/>
        </a:prstGeom>
        <a:noFill/>
        <a:ln w="9525" cmpd="sng">
          <a:noFill/>
        </a:ln>
      </xdr:spPr>
    </xdr:pic>
    <xdr:clientData/>
  </xdr:twoCellAnchor>
  <xdr:twoCellAnchor editAs="oneCell">
    <xdr:from>
      <xdr:col>2</xdr:col>
      <xdr:colOff>9525</xdr:colOff>
      <xdr:row>13</xdr:row>
      <xdr:rowOff>266700</xdr:rowOff>
    </xdr:from>
    <xdr:to>
      <xdr:col>2</xdr:col>
      <xdr:colOff>2990850</xdr:colOff>
      <xdr:row>15</xdr:row>
      <xdr:rowOff>95250</xdr:rowOff>
    </xdr:to>
    <xdr:pic>
      <xdr:nvPicPr>
        <xdr:cNvPr id="3" name="CheckBox2"/>
        <xdr:cNvPicPr preferRelativeResize="1">
          <a:picLocks noChangeAspect="1"/>
        </xdr:cNvPicPr>
      </xdr:nvPicPr>
      <xdr:blipFill>
        <a:blip r:embed="rId3"/>
        <a:stretch>
          <a:fillRect/>
        </a:stretch>
      </xdr:blipFill>
      <xdr:spPr>
        <a:xfrm>
          <a:off x="266700" y="2324100"/>
          <a:ext cx="2981325" cy="352425"/>
        </a:xfrm>
        <a:prstGeom prst="rect">
          <a:avLst/>
        </a:prstGeom>
        <a:noFill/>
        <a:ln w="9525" cmpd="sng">
          <a:noFill/>
        </a:ln>
      </xdr:spPr>
    </xdr:pic>
    <xdr:clientData/>
  </xdr:twoCellAnchor>
  <xdr:twoCellAnchor editAs="oneCell">
    <xdr:from>
      <xdr:col>2</xdr:col>
      <xdr:colOff>28575</xdr:colOff>
      <xdr:row>14</xdr:row>
      <xdr:rowOff>142875</xdr:rowOff>
    </xdr:from>
    <xdr:to>
      <xdr:col>2</xdr:col>
      <xdr:colOff>2600325</xdr:colOff>
      <xdr:row>17</xdr:row>
      <xdr:rowOff>9525</xdr:rowOff>
    </xdr:to>
    <xdr:pic>
      <xdr:nvPicPr>
        <xdr:cNvPr id="4" name="CheckBox3"/>
        <xdr:cNvPicPr preferRelativeResize="1">
          <a:picLocks noChangeAspect="1"/>
        </xdr:cNvPicPr>
      </xdr:nvPicPr>
      <xdr:blipFill>
        <a:blip r:embed="rId4"/>
        <a:stretch>
          <a:fillRect/>
        </a:stretch>
      </xdr:blipFill>
      <xdr:spPr>
        <a:xfrm>
          <a:off x="285750" y="2562225"/>
          <a:ext cx="257175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0</xdr:row>
      <xdr:rowOff>0</xdr:rowOff>
    </xdr:from>
    <xdr:to>
      <xdr:col>8</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391025" y="0"/>
          <a:ext cx="15716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391025" y="0"/>
          <a:ext cx="15716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391025" y="0"/>
          <a:ext cx="15716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20</xdr:row>
      <xdr:rowOff>95250</xdr:rowOff>
    </xdr:from>
    <xdr:to>
      <xdr:col>24</xdr:col>
      <xdr:colOff>2219325</xdr:colOff>
      <xdr:row>26</xdr:row>
      <xdr:rowOff>9525</xdr:rowOff>
    </xdr:to>
    <xdr:pic>
      <xdr:nvPicPr>
        <xdr:cNvPr id="1" name="ToggleButton1"/>
        <xdr:cNvPicPr preferRelativeResize="1">
          <a:picLocks noChangeAspect="1"/>
        </xdr:cNvPicPr>
      </xdr:nvPicPr>
      <xdr:blipFill>
        <a:blip r:embed="rId1"/>
        <a:stretch>
          <a:fillRect/>
        </a:stretch>
      </xdr:blipFill>
      <xdr:spPr>
        <a:xfrm>
          <a:off x="9277350" y="3762375"/>
          <a:ext cx="2200275" cy="885825"/>
        </a:xfrm>
        <a:prstGeom prst="rect">
          <a:avLst/>
        </a:prstGeom>
        <a:noFill/>
        <a:ln w="9525" cmpd="sng">
          <a:noFill/>
        </a:ln>
      </xdr:spPr>
    </xdr:pic>
    <xdr:clientData/>
  </xdr:twoCellAnchor>
  <xdr:oneCellAnchor>
    <xdr:from>
      <xdr:col>2</xdr:col>
      <xdr:colOff>2924175</xdr:colOff>
      <xdr:row>1</xdr:row>
      <xdr:rowOff>104775</xdr:rowOff>
    </xdr:from>
    <xdr:ext cx="1657350" cy="295275"/>
    <xdr:sp>
      <xdr:nvSpPr>
        <xdr:cNvPr id="2" name="Rectangle 13"/>
        <xdr:cNvSpPr>
          <a:spLocks/>
        </xdr:cNvSpPr>
      </xdr:nvSpPr>
      <xdr:spPr>
        <a:xfrm>
          <a:off x="3171825" y="266700"/>
          <a:ext cx="1657350" cy="295275"/>
        </a:xfrm>
        <a:prstGeom prst="rect">
          <a:avLst/>
        </a:prstGeom>
        <a:solidFill>
          <a:srgbClr val="FFFFFF"/>
        </a:solidFill>
        <a:ln w="9525" cmpd="sng">
          <a:noFill/>
        </a:ln>
      </xdr:spPr>
      <xdr:txBody>
        <a:bodyPr vertOverflow="clip" wrap="square">
          <a:spAutoFit/>
        </a:bodyPr>
        <a:p>
          <a:pPr algn="ctr">
            <a:defRPr/>
          </a:pPr>
          <a:r>
            <a:rPr lang="en-US" cap="none" sz="1600" b="1" i="0" u="none" baseline="0">
              <a:latin typeface="Arial"/>
              <a:ea typeface="Arial"/>
              <a:cs typeface="Arial"/>
            </a:rPr>
            <a:t>P&amp;L  Group YTD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0</xdr:row>
      <xdr:rowOff>0</xdr:rowOff>
    </xdr:from>
    <xdr:to>
      <xdr:col>8</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1009650</xdr:colOff>
      <xdr:row>0</xdr:row>
      <xdr:rowOff>0</xdr:rowOff>
    </xdr:from>
    <xdr:to>
      <xdr:col>6</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276725" y="0"/>
          <a:ext cx="1295400" cy="0"/>
        </a:xfrm>
        <a:prstGeom prst="rect">
          <a:avLst/>
        </a:prstGeom>
        <a:noFill/>
        <a:ln w="9525" cmpd="sng">
          <a:noFill/>
        </a:ln>
      </xdr:spPr>
    </xdr:pic>
    <xdr:clientData/>
  </xdr:twoCellAnchor>
  <xdr:twoCellAnchor>
    <xdr:from>
      <xdr:col>5</xdr:col>
      <xdr:colOff>1009650</xdr:colOff>
      <xdr:row>0</xdr:row>
      <xdr:rowOff>0</xdr:rowOff>
    </xdr:from>
    <xdr:to>
      <xdr:col>6</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276725" y="0"/>
          <a:ext cx="1295400" cy="0"/>
        </a:xfrm>
        <a:prstGeom prst="rect">
          <a:avLst/>
        </a:prstGeom>
        <a:noFill/>
        <a:ln w="9525" cmpd="sng">
          <a:noFill/>
        </a:ln>
      </xdr:spPr>
    </xdr:pic>
    <xdr:clientData/>
  </xdr:twoCellAnchor>
  <xdr:twoCellAnchor>
    <xdr:from>
      <xdr:col>5</xdr:col>
      <xdr:colOff>1009650</xdr:colOff>
      <xdr:row>0</xdr:row>
      <xdr:rowOff>0</xdr:rowOff>
    </xdr:from>
    <xdr:to>
      <xdr:col>6</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276725" y="0"/>
          <a:ext cx="1295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333375</xdr:colOff>
      <xdr:row>1</xdr:row>
      <xdr:rowOff>142875</xdr:rowOff>
    </xdr:from>
    <xdr:ext cx="2247900" cy="295275"/>
    <xdr:sp>
      <xdr:nvSpPr>
        <xdr:cNvPr id="1" name="Rectangle 13"/>
        <xdr:cNvSpPr>
          <a:spLocks/>
        </xdr:cNvSpPr>
      </xdr:nvSpPr>
      <xdr:spPr>
        <a:xfrm>
          <a:off x="4248150" y="304800"/>
          <a:ext cx="2247900" cy="295275"/>
        </a:xfrm>
        <a:prstGeom prst="rect">
          <a:avLst/>
        </a:prstGeom>
        <a:solidFill>
          <a:srgbClr val="FFFFFF"/>
        </a:solidFill>
        <a:ln w="9525" cmpd="sng">
          <a:noFill/>
        </a:ln>
      </xdr:spPr>
      <xdr:txBody>
        <a:bodyPr vertOverflow="clip" wrap="square">
          <a:spAutoFit/>
        </a:bodyPr>
        <a:p>
          <a:pPr algn="ctr">
            <a:defRPr/>
          </a:pPr>
          <a:r>
            <a:rPr lang="en-US" cap="none" sz="1600" b="1" i="0" u="none" baseline="0">
              <a:latin typeface="Arial"/>
              <a:ea typeface="Arial"/>
              <a:cs typeface="Arial"/>
            </a:rPr>
            <a:t>P&amp;L  Group by quarter</a:t>
          </a:r>
        </a:p>
      </xdr:txBody>
    </xdr:sp>
    <xdr:clientData/>
  </xdr:oneCellAnchor>
  <xdr:twoCellAnchor editAs="oneCell">
    <xdr:from>
      <xdr:col>22</xdr:col>
      <xdr:colOff>85725</xdr:colOff>
      <xdr:row>21</xdr:row>
      <xdr:rowOff>66675</xdr:rowOff>
    </xdr:from>
    <xdr:to>
      <xdr:col>23</xdr:col>
      <xdr:colOff>2190750</xdr:colOff>
      <xdr:row>26</xdr:row>
      <xdr:rowOff>142875</xdr:rowOff>
    </xdr:to>
    <xdr:pic>
      <xdr:nvPicPr>
        <xdr:cNvPr id="2" name="ToggleButton1"/>
        <xdr:cNvPicPr preferRelativeResize="1">
          <a:picLocks noChangeAspect="1"/>
        </xdr:cNvPicPr>
      </xdr:nvPicPr>
      <xdr:blipFill>
        <a:blip r:embed="rId1"/>
        <a:stretch>
          <a:fillRect/>
        </a:stretch>
      </xdr:blipFill>
      <xdr:spPr>
        <a:xfrm>
          <a:off x="9239250" y="4076700"/>
          <a:ext cx="22002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19050</xdr:colOff>
      <xdr:row>21</xdr:row>
      <xdr:rowOff>57150</xdr:rowOff>
    </xdr:from>
    <xdr:to>
      <xdr:col>24</xdr:col>
      <xdr:colOff>9525</xdr:colOff>
      <xdr:row>26</xdr:row>
      <xdr:rowOff>133350</xdr:rowOff>
    </xdr:to>
    <xdr:pic>
      <xdr:nvPicPr>
        <xdr:cNvPr id="1" name="ToggleButton1"/>
        <xdr:cNvPicPr preferRelativeResize="1">
          <a:picLocks noChangeAspect="1"/>
        </xdr:cNvPicPr>
      </xdr:nvPicPr>
      <xdr:blipFill>
        <a:blip r:embed="rId1"/>
        <a:stretch>
          <a:fillRect/>
        </a:stretch>
      </xdr:blipFill>
      <xdr:spPr>
        <a:xfrm>
          <a:off x="9267825" y="4267200"/>
          <a:ext cx="2200275" cy="885825"/>
        </a:xfrm>
        <a:prstGeom prst="rect">
          <a:avLst/>
        </a:prstGeom>
        <a:noFill/>
        <a:ln w="9525" cmpd="sng">
          <a:noFill/>
        </a:ln>
      </xdr:spPr>
    </xdr:pic>
    <xdr:clientData/>
  </xdr:twoCellAnchor>
  <xdr:oneCellAnchor>
    <xdr:from>
      <xdr:col>2</xdr:col>
      <xdr:colOff>1885950</xdr:colOff>
      <xdr:row>1</xdr:row>
      <xdr:rowOff>104775</xdr:rowOff>
    </xdr:from>
    <xdr:ext cx="3962400" cy="295275"/>
    <xdr:sp>
      <xdr:nvSpPr>
        <xdr:cNvPr id="2" name="Rectangle 4"/>
        <xdr:cNvSpPr>
          <a:spLocks/>
        </xdr:cNvSpPr>
      </xdr:nvSpPr>
      <xdr:spPr>
        <a:xfrm>
          <a:off x="2133600" y="266700"/>
          <a:ext cx="3962400" cy="295275"/>
        </a:xfrm>
        <a:prstGeom prst="rect">
          <a:avLst/>
        </a:prstGeom>
        <a:solidFill>
          <a:srgbClr val="FFFFFF"/>
        </a:solidFill>
        <a:ln w="9525" cmpd="sng">
          <a:noFill/>
        </a:ln>
      </xdr:spPr>
      <xdr:txBody>
        <a:bodyPr vertOverflow="clip" wrap="square">
          <a:spAutoFit/>
        </a:bodyPr>
        <a:p>
          <a:pPr algn="ctr">
            <a:defRPr/>
          </a:pPr>
          <a:r>
            <a:rPr lang="en-US" cap="none" sz="1600" b="1" i="0" u="none" baseline="0">
              <a:latin typeface="Arial"/>
              <a:ea typeface="Arial"/>
              <a:cs typeface="Arial"/>
            </a:rPr>
            <a:t>Key financial data by Business Unit  YTD</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1181100</xdr:colOff>
      <xdr:row>1</xdr:row>
      <xdr:rowOff>104775</xdr:rowOff>
    </xdr:from>
    <xdr:ext cx="4781550" cy="485775"/>
    <xdr:sp>
      <xdr:nvSpPr>
        <xdr:cNvPr id="1" name="Rectangle 61"/>
        <xdr:cNvSpPr>
          <a:spLocks/>
        </xdr:cNvSpPr>
      </xdr:nvSpPr>
      <xdr:spPr>
        <a:xfrm>
          <a:off x="1428750" y="266700"/>
          <a:ext cx="4781550" cy="485775"/>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Key financial data by Business Unit</a:t>
          </a:r>
          <a:r>
            <a:rPr lang="en-US" cap="none" sz="1600" b="1" i="0" u="none" baseline="0">
              <a:latin typeface="Arial"/>
              <a:ea typeface="Arial"/>
              <a:cs typeface="Arial"/>
            </a:rPr>
            <a:t> by quarter</a:t>
          </a:r>
        </a:p>
      </xdr:txBody>
    </xdr:sp>
    <xdr:clientData/>
  </xdr:oneCellAnchor>
  <xdr:twoCellAnchor editAs="oneCell">
    <xdr:from>
      <xdr:col>23</xdr:col>
      <xdr:colOff>0</xdr:colOff>
      <xdr:row>21</xdr:row>
      <xdr:rowOff>95250</xdr:rowOff>
    </xdr:from>
    <xdr:to>
      <xdr:col>24</xdr:col>
      <xdr:colOff>0</xdr:colOff>
      <xdr:row>27</xdr:row>
      <xdr:rowOff>9525</xdr:rowOff>
    </xdr:to>
    <xdr:pic>
      <xdr:nvPicPr>
        <xdr:cNvPr id="2" name="ToggleButton1"/>
        <xdr:cNvPicPr preferRelativeResize="1">
          <a:picLocks noChangeAspect="1"/>
        </xdr:cNvPicPr>
      </xdr:nvPicPr>
      <xdr:blipFill>
        <a:blip r:embed="rId1"/>
        <a:stretch>
          <a:fillRect/>
        </a:stretch>
      </xdr:blipFill>
      <xdr:spPr>
        <a:xfrm>
          <a:off x="8610600" y="4162425"/>
          <a:ext cx="2200275"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180975</xdr:colOff>
      <xdr:row>22</xdr:row>
      <xdr:rowOff>76200</xdr:rowOff>
    </xdr:from>
    <xdr:to>
      <xdr:col>19</xdr:col>
      <xdr:colOff>2181225</xdr:colOff>
      <xdr:row>29</xdr:row>
      <xdr:rowOff>0</xdr:rowOff>
    </xdr:to>
    <xdr:pic>
      <xdr:nvPicPr>
        <xdr:cNvPr id="1" name="ToggleButton1"/>
        <xdr:cNvPicPr preferRelativeResize="1">
          <a:picLocks noChangeAspect="1"/>
        </xdr:cNvPicPr>
      </xdr:nvPicPr>
      <xdr:blipFill>
        <a:blip r:embed="rId1"/>
        <a:stretch>
          <a:fillRect/>
        </a:stretch>
      </xdr:blipFill>
      <xdr:spPr>
        <a:xfrm>
          <a:off x="7839075" y="3829050"/>
          <a:ext cx="2200275" cy="885825"/>
        </a:xfrm>
        <a:prstGeom prst="rect">
          <a:avLst/>
        </a:prstGeom>
        <a:noFill/>
        <a:ln w="9525" cmpd="sng">
          <a:noFill/>
        </a:ln>
      </xdr:spPr>
    </xdr:pic>
    <xdr:clientData/>
  </xdr:twoCellAnchor>
  <xdr:oneCellAnchor>
    <xdr:from>
      <xdr:col>2</xdr:col>
      <xdr:colOff>1733550</xdr:colOff>
      <xdr:row>1</xdr:row>
      <xdr:rowOff>66675</xdr:rowOff>
    </xdr:from>
    <xdr:ext cx="2800350" cy="295275"/>
    <xdr:sp>
      <xdr:nvSpPr>
        <xdr:cNvPr id="2" name="Rectangle 2"/>
        <xdr:cNvSpPr>
          <a:spLocks/>
        </xdr:cNvSpPr>
      </xdr:nvSpPr>
      <xdr:spPr>
        <a:xfrm>
          <a:off x="2038350" y="238125"/>
          <a:ext cx="2800350" cy="295275"/>
        </a:xfrm>
        <a:prstGeom prst="rect">
          <a:avLst/>
        </a:prstGeom>
        <a:solidFill>
          <a:srgbClr val="FFFFFF"/>
        </a:solidFill>
        <a:ln w="9525" cmpd="sng">
          <a:noFill/>
        </a:ln>
      </xdr:spPr>
      <xdr:txBody>
        <a:bodyPr vertOverflow="clip" wrap="square">
          <a:spAutoFit/>
        </a:bodyPr>
        <a:p>
          <a:pPr algn="ctr">
            <a:defRPr/>
          </a:pPr>
          <a:r>
            <a:rPr lang="en-US" cap="none" sz="1600" b="1" i="0" u="none" baseline="0">
              <a:latin typeface="Arial"/>
              <a:ea typeface="Arial"/>
              <a:cs typeface="Arial"/>
            </a:rPr>
            <a:t>Consolidated Balance Sheet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4124325</xdr:colOff>
      <xdr:row>15</xdr:row>
      <xdr:rowOff>0</xdr:rowOff>
    </xdr:from>
    <xdr:to>
      <xdr:col>2</xdr:col>
      <xdr:colOff>2514600</xdr:colOff>
      <xdr:row>15</xdr:row>
      <xdr:rowOff>0</xdr:rowOff>
    </xdr:to>
    <xdr:sp>
      <xdr:nvSpPr>
        <xdr:cNvPr id="1" name="TextBox 1"/>
        <xdr:cNvSpPr txBox="1">
          <a:spLocks noChangeArrowheads="1"/>
        </xdr:cNvSpPr>
      </xdr:nvSpPr>
      <xdr:spPr>
        <a:xfrm>
          <a:off x="4591050" y="2676525"/>
          <a:ext cx="0" cy="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dettagli
 da non evidenziare 
nella 
pubblicazione</a:t>
          </a:r>
        </a:p>
      </xdr:txBody>
    </xdr:sp>
    <xdr:clientData/>
  </xdr:twoCellAnchor>
  <xdr:twoCellAnchor>
    <xdr:from>
      <xdr:col>2</xdr:col>
      <xdr:colOff>4124325</xdr:colOff>
      <xdr:row>15</xdr:row>
      <xdr:rowOff>0</xdr:rowOff>
    </xdr:from>
    <xdr:to>
      <xdr:col>2</xdr:col>
      <xdr:colOff>2514600</xdr:colOff>
      <xdr:row>15</xdr:row>
      <xdr:rowOff>0</xdr:rowOff>
    </xdr:to>
    <xdr:sp>
      <xdr:nvSpPr>
        <xdr:cNvPr id="2" name="TextBox 2"/>
        <xdr:cNvSpPr txBox="1">
          <a:spLocks noChangeArrowheads="1"/>
        </xdr:cNvSpPr>
      </xdr:nvSpPr>
      <xdr:spPr>
        <a:xfrm>
          <a:off x="4591050" y="2676525"/>
          <a:ext cx="0" cy="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dettagli
 da non evidenziare 
nella 
pubblicazione</a:t>
          </a:r>
        </a:p>
      </xdr:txBody>
    </xdr:sp>
    <xdr:clientData/>
  </xdr:twoCellAnchor>
  <xdr:twoCellAnchor editAs="oneCell">
    <xdr:from>
      <xdr:col>23</xdr:col>
      <xdr:colOff>0</xdr:colOff>
      <xdr:row>22</xdr:row>
      <xdr:rowOff>95250</xdr:rowOff>
    </xdr:from>
    <xdr:to>
      <xdr:col>24</xdr:col>
      <xdr:colOff>9525</xdr:colOff>
      <xdr:row>28</xdr:row>
      <xdr:rowOff>66675</xdr:rowOff>
    </xdr:to>
    <xdr:pic>
      <xdr:nvPicPr>
        <xdr:cNvPr id="3" name="ToggleButton1"/>
        <xdr:cNvPicPr preferRelativeResize="1">
          <a:picLocks noChangeAspect="1"/>
        </xdr:cNvPicPr>
      </xdr:nvPicPr>
      <xdr:blipFill>
        <a:blip r:embed="rId1"/>
        <a:stretch>
          <a:fillRect/>
        </a:stretch>
      </xdr:blipFill>
      <xdr:spPr>
        <a:xfrm>
          <a:off x="11106150" y="3771900"/>
          <a:ext cx="2000250" cy="885825"/>
        </a:xfrm>
        <a:prstGeom prst="rect">
          <a:avLst/>
        </a:prstGeom>
        <a:noFill/>
        <a:ln w="9525" cmpd="sng">
          <a:noFill/>
        </a:ln>
      </xdr:spPr>
    </xdr:pic>
    <xdr:clientData/>
  </xdr:twoCellAnchor>
  <xdr:oneCellAnchor>
    <xdr:from>
      <xdr:col>2</xdr:col>
      <xdr:colOff>2847975</xdr:colOff>
      <xdr:row>1</xdr:row>
      <xdr:rowOff>57150</xdr:rowOff>
    </xdr:from>
    <xdr:ext cx="3448050" cy="295275"/>
    <xdr:sp>
      <xdr:nvSpPr>
        <xdr:cNvPr id="4" name="Rectangle 4"/>
        <xdr:cNvSpPr>
          <a:spLocks/>
        </xdr:cNvSpPr>
      </xdr:nvSpPr>
      <xdr:spPr>
        <a:xfrm>
          <a:off x="3314700" y="200025"/>
          <a:ext cx="3448050" cy="295275"/>
        </a:xfrm>
        <a:prstGeom prst="rect">
          <a:avLst/>
        </a:prstGeom>
        <a:solidFill>
          <a:srgbClr val="FFFFFF"/>
        </a:solidFill>
        <a:ln w="9525" cmpd="sng">
          <a:noFill/>
        </a:ln>
      </xdr:spPr>
      <xdr:txBody>
        <a:bodyPr vertOverflow="clip" wrap="square">
          <a:spAutoFit/>
        </a:bodyPr>
        <a:p>
          <a:pPr algn="ctr">
            <a:defRPr/>
          </a:pPr>
          <a:r>
            <a:rPr lang="en-US" cap="none" sz="1600" b="1" i="0" u="none" baseline="0">
              <a:latin typeface="Arial"/>
              <a:ea typeface="Arial"/>
              <a:cs typeface="Arial"/>
            </a:rPr>
            <a:t>Consolidated Cash Flow Statement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66675</xdr:colOff>
      <xdr:row>21</xdr:row>
      <xdr:rowOff>152400</xdr:rowOff>
    </xdr:from>
    <xdr:to>
      <xdr:col>33</xdr:col>
      <xdr:colOff>9525</xdr:colOff>
      <xdr:row>25</xdr:row>
      <xdr:rowOff>9525</xdr:rowOff>
    </xdr:to>
    <xdr:pic>
      <xdr:nvPicPr>
        <xdr:cNvPr id="1" name="ToggleButton1"/>
        <xdr:cNvPicPr preferRelativeResize="1">
          <a:picLocks noChangeAspect="1"/>
        </xdr:cNvPicPr>
      </xdr:nvPicPr>
      <xdr:blipFill>
        <a:blip r:embed="rId1"/>
        <a:stretch>
          <a:fillRect/>
        </a:stretch>
      </xdr:blipFill>
      <xdr:spPr>
        <a:xfrm>
          <a:off x="16725900" y="3867150"/>
          <a:ext cx="2000250" cy="504825"/>
        </a:xfrm>
        <a:prstGeom prst="rect">
          <a:avLst/>
        </a:prstGeom>
        <a:noFill/>
        <a:ln w="9525" cmpd="sng">
          <a:noFill/>
        </a:ln>
      </xdr:spPr>
    </xdr:pic>
    <xdr:clientData/>
  </xdr:twoCellAnchor>
  <xdr:oneCellAnchor>
    <xdr:from>
      <xdr:col>11</xdr:col>
      <xdr:colOff>390525</xdr:colOff>
      <xdr:row>1</xdr:row>
      <xdr:rowOff>85725</xdr:rowOff>
    </xdr:from>
    <xdr:ext cx="3486150" cy="238125"/>
    <xdr:sp>
      <xdr:nvSpPr>
        <xdr:cNvPr id="2" name="Rectangle 2"/>
        <xdr:cNvSpPr>
          <a:spLocks/>
        </xdr:cNvSpPr>
      </xdr:nvSpPr>
      <xdr:spPr>
        <a:xfrm>
          <a:off x="5981700" y="247650"/>
          <a:ext cx="3486150" cy="238125"/>
        </a:xfrm>
        <a:prstGeom prst="rect">
          <a:avLst/>
        </a:prstGeom>
        <a:solidFill>
          <a:srgbClr val="FFFFFF"/>
        </a:solidFill>
        <a:ln w="9525" cmpd="sng">
          <a:noFill/>
        </a:ln>
      </xdr:spPr>
      <xdr:txBody>
        <a:bodyPr vertOverflow="clip" wrap="square">
          <a:spAutoFit/>
        </a:bodyPr>
        <a:p>
          <a:pPr algn="ctr">
            <a:defRPr/>
          </a:pPr>
          <a:r>
            <a:rPr lang="en-US" cap="none" sz="1200" b="1" i="0" u="none" baseline="0">
              <a:latin typeface="Arial"/>
              <a:ea typeface="Arial"/>
              <a:cs typeface="Arial"/>
            </a:rPr>
            <a:t>Domestic Business Results - Reported Figures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19050</xdr:colOff>
      <xdr:row>21</xdr:row>
      <xdr:rowOff>47625</xdr:rowOff>
    </xdr:from>
    <xdr:to>
      <xdr:col>34</xdr:col>
      <xdr:colOff>2019300</xdr:colOff>
      <xdr:row>23</xdr:row>
      <xdr:rowOff>47625</xdr:rowOff>
    </xdr:to>
    <xdr:pic>
      <xdr:nvPicPr>
        <xdr:cNvPr id="1" name="ToggleButton1"/>
        <xdr:cNvPicPr preferRelativeResize="1">
          <a:picLocks noChangeAspect="1"/>
        </xdr:cNvPicPr>
      </xdr:nvPicPr>
      <xdr:blipFill>
        <a:blip r:embed="rId1"/>
        <a:stretch>
          <a:fillRect/>
        </a:stretch>
      </xdr:blipFill>
      <xdr:spPr>
        <a:xfrm>
          <a:off x="14716125" y="3600450"/>
          <a:ext cx="2000250" cy="533400"/>
        </a:xfrm>
        <a:prstGeom prst="rect">
          <a:avLst/>
        </a:prstGeom>
        <a:noFill/>
        <a:ln w="9525" cmpd="sng">
          <a:noFill/>
        </a:ln>
      </xdr:spPr>
    </xdr:pic>
    <xdr:clientData/>
  </xdr:twoCellAnchor>
  <xdr:oneCellAnchor>
    <xdr:from>
      <xdr:col>13</xdr:col>
      <xdr:colOff>0</xdr:colOff>
      <xdr:row>1</xdr:row>
      <xdr:rowOff>104775</xdr:rowOff>
    </xdr:from>
    <xdr:ext cx="3381375" cy="238125"/>
    <xdr:sp>
      <xdr:nvSpPr>
        <xdr:cNvPr id="2" name="Rectangle 2"/>
        <xdr:cNvSpPr>
          <a:spLocks/>
        </xdr:cNvSpPr>
      </xdr:nvSpPr>
      <xdr:spPr>
        <a:xfrm>
          <a:off x="4505325" y="266700"/>
          <a:ext cx="3381375" cy="238125"/>
        </a:xfrm>
        <a:prstGeom prst="rect">
          <a:avLst/>
        </a:prstGeom>
        <a:noFill/>
        <a:ln w="9525" cmpd="sng">
          <a:noFill/>
        </a:ln>
      </xdr:spPr>
      <xdr:txBody>
        <a:bodyPr vertOverflow="clip" wrap="square">
          <a:spAutoFit/>
        </a:bodyPr>
        <a:p>
          <a:pPr algn="ctr">
            <a:defRPr/>
          </a:pPr>
          <a:r>
            <a:rPr lang="en-US" cap="none" sz="1200" b="1" i="0" u="none" baseline="0">
              <a:latin typeface="Arial"/>
              <a:ea typeface="Arial"/>
              <a:cs typeface="Arial"/>
            </a:rPr>
            <a:t>Domestic Wireline Results - Reported Figures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lecomitalia.com/" TargetMode="External" /><Relationship Id="rId2" Type="http://schemas.openxmlformats.org/officeDocument/2006/relationships/hyperlink" Target="mailto:investor_relations@telecomitalia.it" TargetMode="External" /><Relationship Id="rId3" Type="http://schemas.openxmlformats.org/officeDocument/2006/relationships/hyperlink" Target="http://www.telecomitalia.com/cgi-bin/tiportale/TIPortale/ep/programView.do?LANG=EN&amp;tabId=5&amp;pageTypeId=-8662&amp;channelId=-8662&amp;programId=25332"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elecomitaliamedia.it/index_en.shtml" TargetMode="External" /><Relationship Id="rId2" Type="http://schemas.openxmlformats.org/officeDocument/2006/relationships/hyperlink" Target="http://www.telecomitalia.com/cgi-bin/tiportale/TIPortale/ep/browse.do?tabId=1&amp;pageTypeId=-8661&amp;LANG=EN&amp;channelId=-9749&amp;channelPage=/ep/channel/default.jsp" TargetMode="External" /><Relationship Id="rId3" Type="http://schemas.openxmlformats.org/officeDocument/2006/relationships/hyperlink" Target="http://www.telecom.com.ar/" TargetMode="External" /><Relationship Id="rId4" Type="http://schemas.openxmlformats.org/officeDocument/2006/relationships/hyperlink" Target="http://www.etecsa.cu/servicios.asp?codigo=50&amp;padre=9&amp;hijo=" TargetMode="External" /><Relationship Id="rId5" Type="http://schemas.openxmlformats.org/officeDocument/2006/relationships/hyperlink" Target="http://www.timpartri.com.br/tim/" TargetMode="External" /><Relationship Id="rId6" Type="http://schemas.openxmlformats.org/officeDocument/2006/relationships/hyperlink" Target="http://www.olivetti.co.uk/Site/Public/" TargetMode="External" /><Relationship Id="rId7" Type="http://schemas.openxmlformats.org/officeDocument/2006/relationships/hyperlink" Target="http://www.bbned.nl/content/english.shtml" TargetMode="External" /><Relationship Id="rId8" Type="http://schemas.openxmlformats.org/officeDocument/2006/relationships/drawing" Target="../drawings/drawing16.xml" /><Relationship Id="rId9" Type="http://schemas.openxmlformats.org/officeDocument/2006/relationships/vmlDrawing" Target="../drawings/vmlDrawing12.vml" /><Relationship Id="rId10"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elecomitalia.com/cgi-bin/tiportale/TIPortale/ep/browse.do?tabId=5&amp;pageTypeId=-8662&amp;LANG=EN&amp;channelId=-8674&amp;channelPage=/ep/TIinvestitori/TIbilanci.jsp" TargetMode="External" /><Relationship Id="rId2" Type="http://schemas.openxmlformats.org/officeDocument/2006/relationships/hyperlink" Target="http://www.telecomitalia.com/cgi-bin/tiportale/TIPortale/ep/browse.do?tabId=5&amp;pageTypeId=-8662&amp;LANG=EN&amp;channelId=-10332&amp;channelPage=/ep/channel/default.jsp" TargetMode="External" /><Relationship Id="rId3" Type="http://schemas.openxmlformats.org/officeDocument/2006/relationships/hyperlink" Target="http://www.telecomitalia.com/cgi-bin/tiportale/TIPortale/ep/browse.do?tabId=5&amp;pageTypeId=-8662&amp;LANG=EN&amp;channelId=-13410&amp;channelPage=/ep/channel/default.jsp" TargetMode="External" /><Relationship Id="rId4" Type="http://schemas.openxmlformats.org/officeDocument/2006/relationships/hyperlink" Target="http://www.telecomitaliamedia.it/en/investor/index.shtml?calendariofinanziario&amp;2007" TargetMode="External" /><Relationship Id="rId5" Type="http://schemas.openxmlformats.org/officeDocument/2006/relationships/hyperlink" Target="http://www.timpartri.com.br/tim/" TargetMode="External" /><Relationship Id="rId6" Type="http://schemas.openxmlformats.org/officeDocument/2006/relationships/hyperlink" Target="http://www.telecomitaliamedia.it/en/investor/index.shtml?eventi&amp;2007" TargetMode="External" /><Relationship Id="rId7" Type="http://schemas.openxmlformats.org/officeDocument/2006/relationships/hyperlink" Target="http://www.telecomitaliamedia.it/en/investor/index.shtml?bilanciedocumenti&amp;bilancierelazioni&amp;2007" TargetMode="External" /><Relationship Id="rId8" Type="http://schemas.openxmlformats.org/officeDocument/2006/relationships/hyperlink" Target="http://www.telecomitaliamedia.it/en/media/index.shtml?comunicatistampa" TargetMode="External" /><Relationship Id="rId9" Type="http://schemas.openxmlformats.org/officeDocument/2006/relationships/hyperlink" Target="http://www.telecomitalia.com/cgi-bin/tiportale/TIPortale/ep/browse.do?tabId=5&amp;pageTypeId=-8662&amp;LANG=EN&amp;channelId=-13410&amp;channelPage=/ep/channel/default.jsp" TargetMode="External" /><Relationship Id="rId10" Type="http://schemas.openxmlformats.org/officeDocument/2006/relationships/hyperlink" Target="http://www.telecomitalia.com/cgi-bin/tiportale/TIPortale/ep/browse.do?tabId=6&amp;pageTypeId=-8663&amp;LANG=EN&amp;channelId=-9793&amp;channelPage=/ep/channel/default.jsp" TargetMode="External" /><Relationship Id="rId11" Type="http://schemas.openxmlformats.org/officeDocument/2006/relationships/drawing" Target="../drawings/drawing17.xml" /><Relationship Id="rId12" Type="http://schemas.openxmlformats.org/officeDocument/2006/relationships/vmlDrawing" Target="../drawings/vmlDrawing13.vml" /><Relationship Id="rId1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14.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pageSetUpPr fitToPage="1"/>
  </sheetPr>
  <dimension ref="B1:J54"/>
  <sheetViews>
    <sheetView showGridLines="0" tabSelected="1" zoomScaleSheetLayoutView="100" workbookViewId="0" topLeftCell="A1">
      <selection activeCell="E16" sqref="E16"/>
    </sheetView>
  </sheetViews>
  <sheetFormatPr defaultColWidth="9.140625" defaultRowHeight="12.75"/>
  <cols>
    <col min="1" max="1" width="0.9921875" style="38" customWidth="1"/>
    <col min="2" max="2" width="2.8515625" style="38" customWidth="1"/>
    <col min="3" max="3" width="36.00390625" style="38" bestFit="1" customWidth="1"/>
    <col min="4" max="6" width="12.7109375" style="38" customWidth="1"/>
    <col min="7" max="7" width="11.8515625" style="38" customWidth="1"/>
    <col min="8" max="9" width="16.7109375" style="38" customWidth="1"/>
    <col min="10" max="10" width="2.7109375" style="38" customWidth="1"/>
    <col min="11" max="11" width="1.421875" style="38" customWidth="1"/>
    <col min="12" max="16384" width="9.140625" style="38" customWidth="1"/>
  </cols>
  <sheetData>
    <row r="1" spans="2:10" ht="5.25" customHeight="1">
      <c r="B1" s="140"/>
      <c r="J1" s="141"/>
    </row>
    <row r="2" spans="2:10" ht="12.75">
      <c r="B2" s="142"/>
      <c r="C2" s="143"/>
      <c r="D2" s="143"/>
      <c r="E2" s="143"/>
      <c r="F2" s="143"/>
      <c r="G2" s="143"/>
      <c r="H2" s="143"/>
      <c r="I2" s="143"/>
      <c r="J2" s="144"/>
    </row>
    <row r="3" spans="2:10" ht="12.75">
      <c r="B3" s="145"/>
      <c r="C3" s="79"/>
      <c r="D3" s="79"/>
      <c r="E3" s="79"/>
      <c r="F3" s="79"/>
      <c r="G3" s="79"/>
      <c r="H3" s="79"/>
      <c r="I3" s="79"/>
      <c r="J3" s="23"/>
    </row>
    <row r="4" spans="2:10" ht="12.75">
      <c r="B4" s="146"/>
      <c r="C4" s="79"/>
      <c r="D4" s="79"/>
      <c r="E4" s="79"/>
      <c r="F4" s="79"/>
      <c r="G4" s="79"/>
      <c r="H4" s="79"/>
      <c r="I4" s="79"/>
      <c r="J4" s="23"/>
    </row>
    <row r="5" spans="2:10" ht="12.75">
      <c r="B5" s="134"/>
      <c r="C5" s="79"/>
      <c r="D5" s="79"/>
      <c r="E5" s="79"/>
      <c r="F5" s="79"/>
      <c r="G5" s="79"/>
      <c r="H5" s="79"/>
      <c r="I5" s="79"/>
      <c r="J5" s="23"/>
    </row>
    <row r="6" spans="2:10" ht="12.75">
      <c r="B6" s="146"/>
      <c r="C6" s="61"/>
      <c r="D6" s="61"/>
      <c r="E6" s="61"/>
      <c r="F6" s="61"/>
      <c r="G6" s="61"/>
      <c r="H6" s="61"/>
      <c r="I6" s="61"/>
      <c r="J6" s="23"/>
    </row>
    <row r="7" spans="2:10" ht="5.25" customHeight="1">
      <c r="B7" s="147"/>
      <c r="C7" s="79"/>
      <c r="D7" s="79"/>
      <c r="E7" s="79"/>
      <c r="F7" s="79"/>
      <c r="G7" s="79"/>
      <c r="H7" s="79"/>
      <c r="I7" s="79"/>
      <c r="J7" s="23"/>
    </row>
    <row r="8" spans="2:10" ht="15.75">
      <c r="B8" s="1498" t="s">
        <v>57</v>
      </c>
      <c r="C8" s="1499"/>
      <c r="D8" s="1499"/>
      <c r="E8" s="1499"/>
      <c r="F8" s="1499"/>
      <c r="G8" s="1499"/>
      <c r="H8" s="1499"/>
      <c r="I8" s="1499"/>
      <c r="J8" s="1500"/>
    </row>
    <row r="9" spans="2:10" ht="21.75" customHeight="1">
      <c r="B9" s="146"/>
      <c r="C9" s="79"/>
      <c r="D9" s="79"/>
      <c r="E9" s="79"/>
      <c r="F9" s="79"/>
      <c r="G9" s="79"/>
      <c r="H9" s="79"/>
      <c r="I9" s="79"/>
      <c r="J9" s="23"/>
    </row>
    <row r="10" spans="2:10" ht="12.75">
      <c r="B10" s="134"/>
      <c r="C10" s="79"/>
      <c r="D10" s="79"/>
      <c r="E10" s="148"/>
      <c r="F10" s="148"/>
      <c r="G10" s="79"/>
      <c r="H10" s="79"/>
      <c r="I10" s="79"/>
      <c r="J10" s="23"/>
    </row>
    <row r="11" spans="2:10" ht="12.75">
      <c r="B11" s="134"/>
      <c r="D11" s="79"/>
      <c r="E11" s="148"/>
      <c r="F11" s="148"/>
      <c r="G11" s="79"/>
      <c r="H11" s="79"/>
      <c r="I11" s="79"/>
      <c r="J11" s="23"/>
    </row>
    <row r="12" spans="2:10" ht="12.75" customHeight="1">
      <c r="B12" s="149"/>
      <c r="D12" s="29"/>
      <c r="E12" s="28"/>
      <c r="F12" s="148"/>
      <c r="G12" s="79"/>
      <c r="J12" s="23"/>
    </row>
    <row r="13" spans="2:10" ht="12.75" customHeight="1">
      <c r="B13" s="150"/>
      <c r="D13" s="29"/>
      <c r="E13" s="28"/>
      <c r="F13" s="148"/>
      <c r="G13" s="151"/>
      <c r="J13" s="23"/>
    </row>
    <row r="14" spans="2:10" ht="12.75">
      <c r="B14" s="150"/>
      <c r="C14" s="30" t="s">
        <v>59</v>
      </c>
      <c r="D14" s="29"/>
      <c r="E14" s="28"/>
      <c r="F14" s="148"/>
      <c r="G14" s="79"/>
      <c r="J14" s="23"/>
    </row>
    <row r="15" spans="2:10" ht="12.75">
      <c r="B15" s="150"/>
      <c r="C15" s="31" t="s">
        <v>56</v>
      </c>
      <c r="D15" s="29"/>
      <c r="E15" s="28"/>
      <c r="F15" s="148"/>
      <c r="G15" s="152"/>
      <c r="J15" s="23"/>
    </row>
    <row r="16" spans="2:10" ht="12.75">
      <c r="B16" s="150"/>
      <c r="C16" s="139" t="s">
        <v>206</v>
      </c>
      <c r="D16" s="29"/>
      <c r="E16" s="28"/>
      <c r="F16" s="148"/>
      <c r="G16" s="152"/>
      <c r="J16" s="23"/>
    </row>
    <row r="17" spans="2:10" ht="12.75">
      <c r="B17" s="150"/>
      <c r="C17" s="139" t="s">
        <v>208</v>
      </c>
      <c r="D17" s="29"/>
      <c r="E17" s="28"/>
      <c r="F17" s="148"/>
      <c r="G17" s="152"/>
      <c r="J17" s="23"/>
    </row>
    <row r="18" spans="2:10" ht="12.75">
      <c r="B18" s="150"/>
      <c r="C18" s="139" t="s">
        <v>207</v>
      </c>
      <c r="D18" s="29"/>
      <c r="E18" s="29"/>
      <c r="F18" s="79"/>
      <c r="G18" s="152"/>
      <c r="J18" s="23"/>
    </row>
    <row r="19" spans="2:10" ht="12.75">
      <c r="B19" s="150"/>
      <c r="C19" s="139" t="s">
        <v>223</v>
      </c>
      <c r="D19" s="29"/>
      <c r="E19" s="29"/>
      <c r="F19" s="79"/>
      <c r="G19" s="152"/>
      <c r="J19" s="23"/>
    </row>
    <row r="20" spans="2:10" ht="12.75">
      <c r="B20" s="150"/>
      <c r="C20" s="139" t="s">
        <v>310</v>
      </c>
      <c r="D20" s="29"/>
      <c r="E20" s="29"/>
      <c r="F20" s="79"/>
      <c r="G20" s="152"/>
      <c r="J20" s="23"/>
    </row>
    <row r="21" spans="2:10" ht="12.75">
      <c r="B21" s="150"/>
      <c r="C21" s="139" t="s">
        <v>311</v>
      </c>
      <c r="D21" s="29"/>
      <c r="E21" s="29"/>
      <c r="F21" s="79"/>
      <c r="G21" s="152"/>
      <c r="J21" s="23"/>
    </row>
    <row r="22" spans="2:10" ht="12.75">
      <c r="B22" s="150"/>
      <c r="C22" s="139" t="s">
        <v>12</v>
      </c>
      <c r="D22" s="29"/>
      <c r="E22" s="29"/>
      <c r="F22" s="79"/>
      <c r="G22" s="152"/>
      <c r="J22" s="23"/>
    </row>
    <row r="23" spans="2:10" ht="12.75">
      <c r="B23" s="150"/>
      <c r="C23" s="139" t="s">
        <v>220</v>
      </c>
      <c r="D23" s="29"/>
      <c r="E23" s="29"/>
      <c r="F23" s="79"/>
      <c r="G23" s="152"/>
      <c r="H23" s="1501" t="s">
        <v>32</v>
      </c>
      <c r="I23" s="1502"/>
      <c r="J23" s="23"/>
    </row>
    <row r="24" spans="2:10" ht="12.75">
      <c r="B24" s="153"/>
      <c r="C24" s="139" t="s">
        <v>221</v>
      </c>
      <c r="D24" s="29"/>
      <c r="E24" s="29"/>
      <c r="F24" s="79"/>
      <c r="G24" s="152"/>
      <c r="H24" s="1503" t="s">
        <v>53</v>
      </c>
      <c r="I24" s="1504"/>
      <c r="J24" s="23"/>
    </row>
    <row r="25" spans="2:10" ht="12.75">
      <c r="B25" s="154"/>
      <c r="C25" s="139" t="s">
        <v>222</v>
      </c>
      <c r="D25" s="29"/>
      <c r="E25" s="29"/>
      <c r="F25" s="79"/>
      <c r="G25" s="152"/>
      <c r="H25" s="634"/>
      <c r="I25" s="635"/>
      <c r="J25" s="23"/>
    </row>
    <row r="26" spans="2:10" ht="12.75">
      <c r="B26" s="150"/>
      <c r="C26" s="139" t="s">
        <v>8</v>
      </c>
      <c r="D26" s="29"/>
      <c r="E26" s="29"/>
      <c r="F26" s="79"/>
      <c r="G26" s="152"/>
      <c r="H26" s="155" t="s">
        <v>50</v>
      </c>
      <c r="I26" s="156"/>
      <c r="J26" s="23"/>
    </row>
    <row r="27" spans="2:10" ht="12.75">
      <c r="B27" s="150"/>
      <c r="C27" s="139" t="s">
        <v>534</v>
      </c>
      <c r="D27" s="29"/>
      <c r="F27" s="79"/>
      <c r="G27" s="152"/>
      <c r="H27" s="157" t="s">
        <v>51</v>
      </c>
      <c r="I27" s="156"/>
      <c r="J27" s="23"/>
    </row>
    <row r="28" spans="2:10" ht="12.75" customHeight="1">
      <c r="B28" s="150"/>
      <c r="C28" s="139" t="s">
        <v>535</v>
      </c>
      <c r="D28" s="29"/>
      <c r="F28" s="79"/>
      <c r="G28" s="152"/>
      <c r="H28" s="157" t="s">
        <v>52</v>
      </c>
      <c r="I28" s="156"/>
      <c r="J28" s="23"/>
    </row>
    <row r="29" spans="2:10" ht="12.75">
      <c r="B29" s="150"/>
      <c r="C29" s="139" t="s">
        <v>545</v>
      </c>
      <c r="E29" s="29"/>
      <c r="F29" s="79"/>
      <c r="G29" s="152"/>
      <c r="H29" s="233" t="s">
        <v>167</v>
      </c>
      <c r="I29" s="156"/>
      <c r="J29" s="23"/>
    </row>
    <row r="30" spans="2:10" ht="12.75">
      <c r="B30" s="150"/>
      <c r="C30" s="139" t="s">
        <v>109</v>
      </c>
      <c r="D30" s="29"/>
      <c r="E30" s="158"/>
      <c r="F30" s="79"/>
      <c r="G30" s="159"/>
      <c r="H30" s="160" t="s">
        <v>58</v>
      </c>
      <c r="I30" s="156"/>
      <c r="J30" s="23"/>
    </row>
    <row r="31" spans="2:10" ht="12.75">
      <c r="B31" s="150"/>
      <c r="C31" s="139" t="s">
        <v>157</v>
      </c>
      <c r="D31" s="29"/>
      <c r="E31" s="158"/>
      <c r="F31" s="79"/>
      <c r="G31" s="159"/>
      <c r="H31" s="161" t="s">
        <v>54</v>
      </c>
      <c r="I31" s="156"/>
      <c r="J31" s="23"/>
    </row>
    <row r="32" spans="2:10" ht="12.75">
      <c r="B32" s="150"/>
      <c r="C32" s="1412" t="s">
        <v>382</v>
      </c>
      <c r="D32" s="29"/>
      <c r="E32" s="79"/>
      <c r="F32" s="79"/>
      <c r="G32" s="159"/>
      <c r="H32" s="164" t="s">
        <v>49</v>
      </c>
      <c r="I32" s="165"/>
      <c r="J32" s="23"/>
    </row>
    <row r="33" spans="2:10" ht="12.75">
      <c r="B33" s="135"/>
      <c r="C33" s="61"/>
      <c r="D33" s="1349"/>
      <c r="E33" s="61"/>
      <c r="F33" s="61"/>
      <c r="G33" s="166"/>
      <c r="H33" s="166"/>
      <c r="I33" s="166"/>
      <c r="J33" s="167"/>
    </row>
    <row r="34" spans="4:10" ht="12.75">
      <c r="D34" s="163"/>
      <c r="G34" s="152"/>
      <c r="J34" s="141"/>
    </row>
    <row r="35" spans="4:10" ht="12.75">
      <c r="D35" s="79"/>
      <c r="G35" s="152"/>
      <c r="J35" s="141"/>
    </row>
    <row r="36" spans="2:10" ht="12.75">
      <c r="B36" s="140"/>
      <c r="G36" s="79"/>
      <c r="J36" s="141"/>
    </row>
    <row r="37" spans="2:10" ht="12.75">
      <c r="B37" s="168"/>
      <c r="J37" s="141"/>
    </row>
    <row r="38" ht="12.75">
      <c r="J38" s="141"/>
    </row>
    <row r="39" ht="12.75">
      <c r="J39" s="141"/>
    </row>
    <row r="40" ht="12.75">
      <c r="J40" s="141"/>
    </row>
    <row r="41" spans="2:10" ht="12.75">
      <c r="B41" s="140"/>
      <c r="J41" s="141"/>
    </row>
    <row r="42" ht="12.75">
      <c r="J42" s="141"/>
    </row>
    <row r="43" spans="3:10" ht="12.75">
      <c r="C43" s="1400"/>
      <c r="H43" s="141"/>
      <c r="J43" s="141"/>
    </row>
    <row r="44" ht="12.75">
      <c r="J44" s="141"/>
    </row>
    <row r="45" spans="2:10" ht="12.75">
      <c r="B45" s="140"/>
      <c r="I45" s="141"/>
      <c r="J45" s="141"/>
    </row>
    <row r="46" spans="2:10" ht="12.75">
      <c r="B46" s="168"/>
      <c r="J46" s="141"/>
    </row>
    <row r="47" ht="12.75">
      <c r="J47" s="141"/>
    </row>
    <row r="48" ht="12.75">
      <c r="J48" s="141"/>
    </row>
    <row r="49" ht="12.75">
      <c r="J49" s="141"/>
    </row>
    <row r="50" spans="2:10" ht="12.75">
      <c r="B50" s="140"/>
      <c r="J50" s="141"/>
    </row>
    <row r="51" spans="2:10" ht="12.75">
      <c r="B51" s="168"/>
      <c r="J51" s="141"/>
    </row>
    <row r="52" spans="2:10" ht="12.75">
      <c r="B52" s="141"/>
      <c r="E52" s="141"/>
      <c r="F52" s="141"/>
      <c r="G52" s="141"/>
      <c r="J52" s="141"/>
    </row>
    <row r="54" ht="12.75">
      <c r="D54" s="141"/>
    </row>
  </sheetData>
  <sheetProtection password="DAD6" sheet="1" formatCells="0" formatColumns="0" formatRows="0" insertColumns="0" insertRows="0" insertHyperlinks="0" deleteColumns="0" deleteRows="0" sort="0" autoFilter="0" pivotTables="0"/>
  <mergeCells count="3">
    <mergeCell ref="B8:J8"/>
    <mergeCell ref="H23:I23"/>
    <mergeCell ref="H24:I24"/>
  </mergeCells>
  <hyperlinks>
    <hyperlink ref="C22" location="'Domestic Business Results'!A1" display="Domestic Business Results"/>
    <hyperlink ref="C23" location="'Domestic Wireline Results'!A1" display="Domestic Wireline Results"/>
    <hyperlink ref="C24" location="'Domestic Mobile Results'!A1" display="Domestic Mobile Results"/>
    <hyperlink ref="C25" location="'TIM Brasil Results'!A1" display="TIM Brasil Results"/>
    <hyperlink ref="H31" r:id="rId1" display="Telecom Italia Group"/>
    <hyperlink ref="H29" r:id="rId2" display="investor_relations@telecomitalia.it"/>
    <hyperlink ref="H32" r:id="rId3" display="Telecom Italia Investor Relations"/>
    <hyperlink ref="C26" location="'European BroadBand'!A1" display="European BroadBand"/>
    <hyperlink ref="C30" location="'Main Group''s Subsidiries'!A1" display="Main Group's Subsidiaries"/>
    <hyperlink ref="C18" location="'Key fin data by BU YTD'!A1" display="Key Financial data by BU YTD"/>
    <hyperlink ref="C31" location="'Analyst Tools'!A1" display="Analyst Tools"/>
    <hyperlink ref="C32" location="'Historic Data'!A1" display="Historic Data"/>
    <hyperlink ref="C17" location="'P&amp;L Group by quarter'!A1" display="P&amp;L Group by quarter"/>
    <hyperlink ref="C19" location="'Key fin. data by BU by quarter'!A1" display="Key Financial data by quarter"/>
    <hyperlink ref="C16" location="'P&amp;L Group YTD'!A1" display="P&amp;L Group YTD"/>
    <hyperlink ref="C20" location="'Balance Sheet'!A1" display="Balance Sheet"/>
    <hyperlink ref="C21" location="'Cashflow Statement'!A1" display="Cashflow Statement"/>
    <hyperlink ref="C27" location="'1Q Rep&amp;org.'!A1" display="Repoerted &amp; Organic figures"/>
    <hyperlink ref="C28" location="'2Q Rep&amp;org.'!A1" display="Reported &amp; Organic figures 2Q08 vs 2Q07"/>
    <hyperlink ref="C29" location="'3Q Rep&amp;org.'!A1" display="Reported &amp; Organic figures 3Q08 vs 3Q07"/>
  </hyperlinks>
  <printOptions horizontalCentered="1" verticalCentered="1"/>
  <pageMargins left="0" right="0" top="0" bottom="0" header="0.5118110236220472" footer="0.31496062992125984"/>
  <pageSetup fitToHeight="1" fitToWidth="1" horizontalDpi="600" verticalDpi="600" orientation="landscape" paperSize="9" r:id="rId5"/>
  <drawing r:id="rId4"/>
</worksheet>
</file>

<file path=xl/worksheets/sheet10.xml><?xml version="1.0" encoding="utf-8"?>
<worksheet xmlns="http://schemas.openxmlformats.org/spreadsheetml/2006/main" xmlns:r="http://schemas.openxmlformats.org/officeDocument/2006/relationships">
  <sheetPr codeName="Foglio19"/>
  <dimension ref="B2:AD45"/>
  <sheetViews>
    <sheetView showGridLines="0" zoomScaleSheetLayoutView="100" workbookViewId="0" topLeftCell="A1">
      <pane xSplit="3" ySplit="3" topLeftCell="J4" activePane="bottomRight" state="frozen"/>
      <selection pane="topLeft" activeCell="E16" sqref="E16"/>
      <selection pane="topRight" activeCell="E16" sqref="E16"/>
      <selection pane="bottomLeft" activeCell="E16" sqref="E16"/>
      <selection pane="bottomRight" activeCell="C2" sqref="C2"/>
    </sheetView>
  </sheetViews>
  <sheetFormatPr defaultColWidth="9.140625" defaultRowHeight="12.75"/>
  <cols>
    <col min="1" max="1" width="0.9921875" style="3" customWidth="1"/>
    <col min="2" max="2" width="2.7109375" style="3" customWidth="1"/>
    <col min="3" max="3" width="44.140625" style="3" customWidth="1"/>
    <col min="4" max="4" width="10.57421875" style="3" hidden="1" customWidth="1"/>
    <col min="5" max="5" width="6.421875" style="3" hidden="1" customWidth="1"/>
    <col min="6" max="6" width="7.28125" style="3" hidden="1" customWidth="1"/>
    <col min="7" max="7" width="6.8515625" style="3" hidden="1" customWidth="1"/>
    <col min="8" max="8" width="7.140625" style="3" hidden="1" customWidth="1"/>
    <col min="9" max="9" width="1.421875" style="3" hidden="1" customWidth="1"/>
    <col min="10" max="10" width="9.00390625" style="3" bestFit="1" customWidth="1"/>
    <col min="11" max="11" width="7.8515625" style="3" bestFit="1" customWidth="1"/>
    <col min="12" max="12" width="7.28125" style="3" bestFit="1" customWidth="1"/>
    <col min="13" max="13" width="9.140625" style="3" bestFit="1" customWidth="1"/>
    <col min="14" max="14" width="7.28125" style="3" bestFit="1" customWidth="1"/>
    <col min="15" max="15" width="8.8515625" style="3" customWidth="1"/>
    <col min="16" max="16" width="7.00390625" style="3" customWidth="1"/>
    <col min="17" max="17" width="8.8515625" style="3" customWidth="1"/>
    <col min="18" max="18" width="7.00390625" style="3" customWidth="1"/>
    <col min="19" max="19" width="8.8515625" style="3" customWidth="1"/>
    <col min="20" max="20" width="1.57421875" style="3" customWidth="1"/>
    <col min="21" max="21" width="7.00390625" style="3" customWidth="1"/>
    <col min="22" max="23" width="8.8515625" style="3" customWidth="1"/>
    <col min="24" max="24" width="7.7109375" style="3" customWidth="1"/>
    <col min="25" max="25" width="8.8515625" style="3" customWidth="1"/>
    <col min="26" max="26" width="7.7109375" style="3" customWidth="1"/>
    <col min="27" max="27" width="2.28125" style="3" customWidth="1"/>
    <col min="28" max="28" width="1.8515625" style="3" customWidth="1"/>
    <col min="29" max="29" width="30.00390625" style="3" customWidth="1"/>
    <col min="30" max="16384" width="9.140625" style="3" customWidth="1"/>
  </cols>
  <sheetData>
    <row r="2" spans="2:29" ht="24.75" customHeight="1">
      <c r="B2" s="960"/>
      <c r="C2" s="957"/>
      <c r="D2" s="957"/>
      <c r="E2" s="957"/>
      <c r="F2" s="957"/>
      <c r="G2" s="957"/>
      <c r="H2" s="957"/>
      <c r="I2" s="957"/>
      <c r="J2" s="957"/>
      <c r="K2" s="957"/>
      <c r="L2" s="957"/>
      <c r="M2" s="957"/>
      <c r="N2" s="957"/>
      <c r="O2" s="957"/>
      <c r="P2" s="957"/>
      <c r="Q2" s="957"/>
      <c r="R2" s="957"/>
      <c r="S2" s="957"/>
      <c r="T2" s="957"/>
      <c r="U2" s="957"/>
      <c r="V2" s="957"/>
      <c r="W2" s="957"/>
      <c r="X2" s="957"/>
      <c r="Y2" s="957"/>
      <c r="Z2" s="957"/>
      <c r="AA2" s="958"/>
      <c r="AC2" s="1347"/>
    </row>
    <row r="3" spans="2:29" ht="12.75">
      <c r="B3" s="15"/>
      <c r="C3" s="61"/>
      <c r="D3" s="18" t="s">
        <v>2</v>
      </c>
      <c r="E3" s="18" t="s">
        <v>3</v>
      </c>
      <c r="F3" s="18" t="s">
        <v>4</v>
      </c>
      <c r="G3" s="18" t="s">
        <v>5</v>
      </c>
      <c r="H3" s="18" t="s">
        <v>88</v>
      </c>
      <c r="I3" s="19"/>
      <c r="J3" s="17" t="s">
        <v>6</v>
      </c>
      <c r="K3" s="22" t="s">
        <v>134</v>
      </c>
      <c r="L3" s="17" t="s">
        <v>142</v>
      </c>
      <c r="M3" s="22" t="s">
        <v>134</v>
      </c>
      <c r="N3" s="17" t="s">
        <v>143</v>
      </c>
      <c r="O3" s="22" t="s">
        <v>134</v>
      </c>
      <c r="P3" s="17" t="s">
        <v>228</v>
      </c>
      <c r="Q3" s="22" t="s">
        <v>134</v>
      </c>
      <c r="R3" s="17" t="s">
        <v>226</v>
      </c>
      <c r="S3" s="22" t="s">
        <v>134</v>
      </c>
      <c r="T3" s="22"/>
      <c r="U3" s="18" t="s">
        <v>339</v>
      </c>
      <c r="V3" s="1393" t="s">
        <v>365</v>
      </c>
      <c r="W3" s="18" t="s">
        <v>435</v>
      </c>
      <c r="X3" s="1393" t="s">
        <v>365</v>
      </c>
      <c r="Y3" s="18" t="s">
        <v>537</v>
      </c>
      <c r="Z3" s="1393" t="s">
        <v>365</v>
      </c>
      <c r="AA3" s="1388"/>
      <c r="AC3" s="30" t="s">
        <v>59</v>
      </c>
    </row>
    <row r="4" spans="2:29" ht="12.75">
      <c r="B4" s="15"/>
      <c r="C4" s="62" t="s">
        <v>14</v>
      </c>
      <c r="D4" s="316"/>
      <c r="E4" s="316"/>
      <c r="F4" s="316"/>
      <c r="G4" s="316"/>
      <c r="H4" s="316"/>
      <c r="I4" s="404"/>
      <c r="J4" s="316"/>
      <c r="K4" s="404"/>
      <c r="L4" s="316"/>
      <c r="M4" s="404"/>
      <c r="N4" s="316"/>
      <c r="O4" s="404"/>
      <c r="P4" s="316"/>
      <c r="Q4" s="404"/>
      <c r="R4" s="316"/>
      <c r="S4" s="404"/>
      <c r="T4" s="404"/>
      <c r="U4" s="316"/>
      <c r="V4" s="404"/>
      <c r="W4" s="316"/>
      <c r="X4" s="404"/>
      <c r="Y4" s="316"/>
      <c r="Z4" s="404"/>
      <c r="AA4" s="423"/>
      <c r="AC4" s="31" t="s">
        <v>56</v>
      </c>
    </row>
    <row r="5" spans="2:29" ht="12.75">
      <c r="B5" s="15"/>
      <c r="C5" s="25" t="s">
        <v>98</v>
      </c>
      <c r="D5" s="172">
        <v>0.403</v>
      </c>
      <c r="E5" s="172">
        <v>0.405</v>
      </c>
      <c r="F5" s="172">
        <v>0.403</v>
      </c>
      <c r="G5" s="172">
        <v>0.404</v>
      </c>
      <c r="H5" s="138">
        <v>0.404</v>
      </c>
      <c r="I5" s="172"/>
      <c r="J5" s="172">
        <v>0.404</v>
      </c>
      <c r="K5" s="432">
        <v>0.1</v>
      </c>
      <c r="L5" s="172">
        <v>0.403</v>
      </c>
      <c r="M5" s="432">
        <v>-0.2</v>
      </c>
      <c r="N5" s="172">
        <v>0.403</v>
      </c>
      <c r="O5" s="432">
        <v>0</v>
      </c>
      <c r="P5" s="172">
        <v>0.403</v>
      </c>
      <c r="Q5" s="432">
        <v>-0.1</v>
      </c>
      <c r="R5" s="172">
        <v>0.403</v>
      </c>
      <c r="S5" s="432">
        <v>-0.1</v>
      </c>
      <c r="T5" s="432"/>
      <c r="U5" s="172">
        <v>0.397</v>
      </c>
      <c r="V5" s="432">
        <v>-0.7000000000000006</v>
      </c>
      <c r="W5" s="172">
        <v>0.394</v>
      </c>
      <c r="X5" s="432">
        <v>-0.9000000000000008</v>
      </c>
      <c r="Y5" s="172">
        <v>0.386</v>
      </c>
      <c r="Z5" s="432">
        <f>+(Y5-N5)*100</f>
        <v>-1.7000000000000015</v>
      </c>
      <c r="AA5" s="1389"/>
      <c r="AC5" s="139" t="s">
        <v>206</v>
      </c>
    </row>
    <row r="6" spans="2:29" ht="12.75">
      <c r="B6" s="15"/>
      <c r="C6" s="26" t="s">
        <v>94</v>
      </c>
      <c r="D6" s="171">
        <v>29664</v>
      </c>
      <c r="E6" s="171">
        <v>30408</v>
      </c>
      <c r="F6" s="171">
        <v>31488</v>
      </c>
      <c r="G6" s="171">
        <v>32450</v>
      </c>
      <c r="H6" s="424">
        <v>32450</v>
      </c>
      <c r="I6" s="171"/>
      <c r="J6" s="171">
        <v>33569</v>
      </c>
      <c r="K6" s="433">
        <v>0.13164104638619212</v>
      </c>
      <c r="L6" s="171">
        <v>34312</v>
      </c>
      <c r="M6" s="433">
        <v>0.1283872665088135</v>
      </c>
      <c r="N6" s="171">
        <v>35310</v>
      </c>
      <c r="O6" s="433">
        <v>0.12137957317073167</v>
      </c>
      <c r="P6" s="171">
        <v>36331</v>
      </c>
      <c r="Q6" s="433">
        <v>0.11959938366718026</v>
      </c>
      <c r="R6" s="171">
        <v>36331</v>
      </c>
      <c r="S6" s="433">
        <v>0.11959938366718026</v>
      </c>
      <c r="T6" s="433"/>
      <c r="U6" s="171">
        <v>35930</v>
      </c>
      <c r="V6" s="433">
        <v>0.07033274747534923</v>
      </c>
      <c r="W6" s="171">
        <v>35796</v>
      </c>
      <c r="X6" s="433">
        <v>0.043250174865936186</v>
      </c>
      <c r="Y6" s="171">
        <v>35274</v>
      </c>
      <c r="Z6" s="433">
        <f>+Y6/N6-1</f>
        <v>-0.0010195412064570863</v>
      </c>
      <c r="AA6" s="1390"/>
      <c r="AC6" s="139" t="s">
        <v>208</v>
      </c>
    </row>
    <row r="7" spans="2:29" ht="12.75">
      <c r="B7" s="15"/>
      <c r="C7" s="26" t="s">
        <v>93</v>
      </c>
      <c r="D7" s="424">
        <v>2979</v>
      </c>
      <c r="E7" s="424">
        <v>3421</v>
      </c>
      <c r="F7" s="424">
        <v>3892</v>
      </c>
      <c r="G7" s="424">
        <v>4206</v>
      </c>
      <c r="H7" s="424">
        <v>4206</v>
      </c>
      <c r="I7" s="171"/>
      <c r="J7" s="424">
        <v>4666</v>
      </c>
      <c r="K7" s="433">
        <v>0.5662974152400135</v>
      </c>
      <c r="L7" s="424">
        <v>5147</v>
      </c>
      <c r="M7" s="433">
        <v>0.5045308389359837</v>
      </c>
      <c r="N7" s="424">
        <v>5728</v>
      </c>
      <c r="O7" s="433">
        <v>0.47173689619732784</v>
      </c>
      <c r="P7" s="424">
        <v>6116</v>
      </c>
      <c r="Q7" s="433">
        <v>0.4541131716595339</v>
      </c>
      <c r="R7" s="424">
        <v>6116</v>
      </c>
      <c r="S7" s="433">
        <v>0.4541131716595339</v>
      </c>
      <c r="T7" s="433"/>
      <c r="U7" s="424">
        <v>6338</v>
      </c>
      <c r="V7" s="433">
        <v>0.35833690527218165</v>
      </c>
      <c r="W7" s="424">
        <v>6499</v>
      </c>
      <c r="X7" s="433">
        <v>0.2626772877404313</v>
      </c>
      <c r="Y7" s="424">
        <f>+'Domestic Business Results'!AC11</f>
        <v>6802</v>
      </c>
      <c r="Z7" s="433">
        <f>+Y7/N7-1</f>
        <v>0.1875</v>
      </c>
      <c r="AA7" s="1390"/>
      <c r="AC7" s="139" t="s">
        <v>207</v>
      </c>
    </row>
    <row r="8" spans="2:29" ht="12.75">
      <c r="B8" s="15"/>
      <c r="C8" s="37" t="s">
        <v>33</v>
      </c>
      <c r="D8" s="172">
        <v>0.1</v>
      </c>
      <c r="E8" s="172">
        <v>0.113</v>
      </c>
      <c r="F8" s="172">
        <v>0.124</v>
      </c>
      <c r="G8" s="172">
        <v>0.13</v>
      </c>
      <c r="H8" s="138">
        <v>0.12961479198767334</v>
      </c>
      <c r="I8" s="81"/>
      <c r="J8" s="172">
        <v>0.13899728916559922</v>
      </c>
      <c r="K8" s="432">
        <v>3.899728916559922</v>
      </c>
      <c r="L8" s="172">
        <v>0.1500058288645372</v>
      </c>
      <c r="M8" s="432">
        <v>3.7005828864537196</v>
      </c>
      <c r="N8" s="172">
        <v>0.162220334182951</v>
      </c>
      <c r="O8" s="432">
        <v>3.822033418295101</v>
      </c>
      <c r="P8" s="172">
        <v>0.168341086124797</v>
      </c>
      <c r="Q8" s="432">
        <v>3.8341086124797004</v>
      </c>
      <c r="R8" s="172">
        <v>0.168341086124797</v>
      </c>
      <c r="S8" s="432">
        <v>3.872629413712367</v>
      </c>
      <c r="T8" s="432"/>
      <c r="U8" s="172">
        <v>0.1763985527414417</v>
      </c>
      <c r="V8" s="432">
        <v>3.7401263575842476</v>
      </c>
      <c r="W8" s="172">
        <f>+W7/W6</f>
        <v>0.18155659850262598</v>
      </c>
      <c r="X8" s="432">
        <v>3.1550769638088783</v>
      </c>
      <c r="Y8" s="172">
        <f>+Y7/Y6</f>
        <v>0.1928332482848557</v>
      </c>
      <c r="Z8" s="432">
        <f>+(Y8-N8)*100</f>
        <v>3.06129141019047</v>
      </c>
      <c r="AA8" s="1389"/>
      <c r="AC8" s="139" t="s">
        <v>223</v>
      </c>
    </row>
    <row r="9" spans="2:29" ht="12.75">
      <c r="B9" s="15"/>
      <c r="C9" s="26" t="s">
        <v>122</v>
      </c>
      <c r="D9" s="171">
        <v>10354</v>
      </c>
      <c r="E9" s="171">
        <v>10755</v>
      </c>
      <c r="F9" s="171">
        <v>10847</v>
      </c>
      <c r="G9" s="171">
        <v>10586</v>
      </c>
      <c r="H9" s="424">
        <v>42542</v>
      </c>
      <c r="I9" s="171"/>
      <c r="J9" s="171">
        <v>10518</v>
      </c>
      <c r="K9" s="433">
        <v>0.015839289163608328</v>
      </c>
      <c r="L9" s="171">
        <v>11437</v>
      </c>
      <c r="M9" s="433">
        <v>0.0634123663412367</v>
      </c>
      <c r="N9" s="171">
        <v>12037</v>
      </c>
      <c r="O9" s="433">
        <v>0.10970775329584215</v>
      </c>
      <c r="P9" s="424">
        <v>12351</v>
      </c>
      <c r="Q9" s="433">
        <v>0.16672964292461745</v>
      </c>
      <c r="R9" s="424">
        <v>46343</v>
      </c>
      <c r="S9" s="433">
        <v>0.0893469982605426</v>
      </c>
      <c r="T9" s="433"/>
      <c r="U9" s="424">
        <v>12360</v>
      </c>
      <c r="V9" s="433">
        <v>0.17512835139760408</v>
      </c>
      <c r="W9" s="424">
        <f>+W10+W11</f>
        <v>12572</v>
      </c>
      <c r="X9" s="433">
        <v>0.09923931100813155</v>
      </c>
      <c r="Y9" s="424">
        <v>12427</v>
      </c>
      <c r="Z9" s="433">
        <v>0.032</v>
      </c>
      <c r="AA9" s="1390"/>
      <c r="AC9" s="139" t="s">
        <v>310</v>
      </c>
    </row>
    <row r="10" spans="2:29" ht="12.75">
      <c r="B10" s="15"/>
      <c r="C10" s="37" t="s">
        <v>123</v>
      </c>
      <c r="D10" s="171">
        <v>6768</v>
      </c>
      <c r="E10" s="171">
        <v>7039</v>
      </c>
      <c r="F10" s="171">
        <v>7172</v>
      </c>
      <c r="G10" s="171">
        <v>6903</v>
      </c>
      <c r="H10" s="424">
        <v>27882</v>
      </c>
      <c r="I10" s="171"/>
      <c r="J10" s="171">
        <v>6924</v>
      </c>
      <c r="K10" s="433">
        <v>0.023049645390070816</v>
      </c>
      <c r="L10" s="171">
        <v>7709</v>
      </c>
      <c r="M10" s="433">
        <v>0.09504190936212531</v>
      </c>
      <c r="N10" s="171">
        <v>8425</v>
      </c>
      <c r="O10" s="433">
        <v>0.176</v>
      </c>
      <c r="P10" s="424">
        <v>8697</v>
      </c>
      <c r="Q10" s="433">
        <v>0.25988700564971756</v>
      </c>
      <c r="R10" s="424">
        <v>31755</v>
      </c>
      <c r="S10" s="433">
        <v>0.13890682160533685</v>
      </c>
      <c r="T10" s="433"/>
      <c r="U10" s="424">
        <v>8816</v>
      </c>
      <c r="V10" s="433">
        <v>0.27325245522819186</v>
      </c>
      <c r="W10" s="424">
        <v>8961</v>
      </c>
      <c r="X10" s="433">
        <v>0.16240757556103258</v>
      </c>
      <c r="Y10" s="424">
        <v>8872</v>
      </c>
      <c r="Z10" s="433">
        <v>0.053</v>
      </c>
      <c r="AA10" s="1390"/>
      <c r="AC10" s="139" t="s">
        <v>311</v>
      </c>
    </row>
    <row r="11" spans="2:29" ht="12.75">
      <c r="B11" s="15"/>
      <c r="C11" s="37" t="s">
        <v>121</v>
      </c>
      <c r="D11" s="171">
        <v>3586</v>
      </c>
      <c r="E11" s="171">
        <v>3716</v>
      </c>
      <c r="F11" s="171">
        <v>3675</v>
      </c>
      <c r="G11" s="171">
        <v>3683</v>
      </c>
      <c r="H11" s="424">
        <v>14660</v>
      </c>
      <c r="I11" s="171"/>
      <c r="J11" s="171">
        <v>3594</v>
      </c>
      <c r="K11" s="433">
        <v>0.002230897936419396</v>
      </c>
      <c r="L11" s="171">
        <v>3728</v>
      </c>
      <c r="M11" s="433">
        <v>0.0034983853606027626</v>
      </c>
      <c r="N11" s="171">
        <v>3612</v>
      </c>
      <c r="O11" s="433">
        <v>-0.017142857142857126</v>
      </c>
      <c r="P11" s="424">
        <v>3654</v>
      </c>
      <c r="Q11" s="433">
        <v>-0.007874015748031482</v>
      </c>
      <c r="R11" s="424">
        <v>14588</v>
      </c>
      <c r="S11" s="433">
        <v>-0.004911323328785855</v>
      </c>
      <c r="T11" s="433"/>
      <c r="U11" s="424">
        <v>3543</v>
      </c>
      <c r="V11" s="433">
        <v>-0.014190317195325597</v>
      </c>
      <c r="W11" s="424">
        <v>3611</v>
      </c>
      <c r="X11" s="433">
        <v>-0.0313841201716738</v>
      </c>
      <c r="Y11" s="424">
        <v>3555</v>
      </c>
      <c r="Z11" s="433">
        <v>-0.016</v>
      </c>
      <c r="AA11" s="1390"/>
      <c r="AC11" s="139" t="s">
        <v>12</v>
      </c>
    </row>
    <row r="12" spans="2:29" ht="12.75">
      <c r="B12" s="15"/>
      <c r="C12" s="26" t="s">
        <v>92</v>
      </c>
      <c r="D12" s="171">
        <v>1054</v>
      </c>
      <c r="E12" s="171">
        <v>2097</v>
      </c>
      <c r="F12" s="171">
        <v>1279</v>
      </c>
      <c r="G12" s="171">
        <v>2990</v>
      </c>
      <c r="H12" s="424">
        <v>7420</v>
      </c>
      <c r="I12" s="171"/>
      <c r="J12" s="171">
        <v>1171</v>
      </c>
      <c r="K12" s="433">
        <v>0.11100569259962056</v>
      </c>
      <c r="L12" s="171">
        <v>2553</v>
      </c>
      <c r="M12" s="433">
        <v>0.217</v>
      </c>
      <c r="N12" s="171">
        <v>1600</v>
      </c>
      <c r="O12" s="433">
        <v>0.251</v>
      </c>
      <c r="P12" s="171">
        <v>3459</v>
      </c>
      <c r="Q12" s="433">
        <v>0.15685618729096995</v>
      </c>
      <c r="R12" s="171">
        <v>8783</v>
      </c>
      <c r="S12" s="433">
        <v>0.18369272237196776</v>
      </c>
      <c r="T12" s="433"/>
      <c r="U12" s="171">
        <v>885</v>
      </c>
      <c r="V12" s="433">
        <v>-0.24423569598633643</v>
      </c>
      <c r="W12" s="171">
        <v>2241</v>
      </c>
      <c r="X12" s="433">
        <v>-0.12220916568742657</v>
      </c>
      <c r="Y12" s="424">
        <f>4824-W12-U12</f>
        <v>1698</v>
      </c>
      <c r="Z12" s="433">
        <f>+Y12/N12-1</f>
        <v>0.06125000000000003</v>
      </c>
      <c r="AA12" s="1390"/>
      <c r="AC12" s="139" t="s">
        <v>220</v>
      </c>
    </row>
    <row r="13" spans="2:29" ht="12.75">
      <c r="B13" s="15"/>
      <c r="C13" s="25" t="s">
        <v>363</v>
      </c>
      <c r="D13" s="1194">
        <v>120.5</v>
      </c>
      <c r="E13" s="1194">
        <v>121</v>
      </c>
      <c r="F13" s="1194">
        <v>119</v>
      </c>
      <c r="G13" s="1194">
        <v>114</v>
      </c>
      <c r="H13" s="1194">
        <v>118.9</v>
      </c>
      <c r="I13" s="1194"/>
      <c r="J13" s="171">
        <v>110</v>
      </c>
      <c r="K13" s="433"/>
      <c r="L13" s="171">
        <v>116</v>
      </c>
      <c r="M13" s="433"/>
      <c r="N13" s="171">
        <v>119</v>
      </c>
      <c r="O13" s="433"/>
      <c r="P13" s="171">
        <v>119</v>
      </c>
      <c r="Q13" s="433"/>
      <c r="R13" s="171">
        <v>119</v>
      </c>
      <c r="S13" s="433"/>
      <c r="T13" s="433"/>
      <c r="U13" s="171">
        <v>119</v>
      </c>
      <c r="V13" s="433">
        <v>0.08181818181818179</v>
      </c>
      <c r="W13" s="171">
        <v>123</v>
      </c>
      <c r="X13" s="433">
        <v>0.064</v>
      </c>
      <c r="Y13" s="424">
        <v>123.1</v>
      </c>
      <c r="Z13" s="433">
        <v>0.045</v>
      </c>
      <c r="AA13" s="1390"/>
      <c r="AC13" s="139" t="s">
        <v>222</v>
      </c>
    </row>
    <row r="14" spans="2:29" ht="12.75">
      <c r="B14" s="15"/>
      <c r="C14" s="8" t="s">
        <v>527</v>
      </c>
      <c r="D14" s="1199">
        <v>24.9</v>
      </c>
      <c r="E14" s="1199">
        <v>24.9</v>
      </c>
      <c r="F14" s="1199">
        <v>24.8</v>
      </c>
      <c r="G14" s="1199">
        <v>24</v>
      </c>
      <c r="H14" s="1199">
        <v>24.6</v>
      </c>
      <c r="I14" s="204"/>
      <c r="J14" s="1199">
        <v>22.4</v>
      </c>
      <c r="K14" s="1200">
        <v>-0.10040160642570284</v>
      </c>
      <c r="L14" s="1199">
        <v>21.9</v>
      </c>
      <c r="M14" s="1200">
        <v>-0.12048192771084343</v>
      </c>
      <c r="N14" s="1199">
        <v>21.3</v>
      </c>
      <c r="O14" s="1200">
        <v>-0.142</v>
      </c>
      <c r="P14" s="1199">
        <v>20.3</v>
      </c>
      <c r="Q14" s="1200">
        <v>-0.15416666666666667</v>
      </c>
      <c r="R14" s="1199">
        <v>21.5</v>
      </c>
      <c r="S14" s="1200">
        <v>-0.126</v>
      </c>
      <c r="T14" s="148"/>
      <c r="U14" s="1199">
        <v>19.2</v>
      </c>
      <c r="V14" s="1200">
        <v>-0.1428571428571428</v>
      </c>
      <c r="W14" s="1199">
        <v>20.1</v>
      </c>
      <c r="X14" s="1200">
        <v>-0.08219178082191769</v>
      </c>
      <c r="Y14" s="1199">
        <v>20.5</v>
      </c>
      <c r="Z14" s="1200">
        <f>+Y14/N14-1</f>
        <v>-0.03755868544600938</v>
      </c>
      <c r="AA14" s="1391"/>
      <c r="AC14" s="139" t="s">
        <v>8</v>
      </c>
    </row>
    <row r="15" spans="2:30" s="82" customFormat="1" ht="12.75">
      <c r="B15" s="435"/>
      <c r="C15" s="83" t="s">
        <v>173</v>
      </c>
      <c r="D15" s="32"/>
      <c r="E15" s="32"/>
      <c r="F15" s="32"/>
      <c r="G15" s="434"/>
      <c r="H15" s="32"/>
      <c r="I15" s="19"/>
      <c r="J15" s="32"/>
      <c r="K15" s="19"/>
      <c r="L15" s="32"/>
      <c r="M15" s="19"/>
      <c r="N15" s="32"/>
      <c r="O15" s="19"/>
      <c r="P15" s="32"/>
      <c r="Q15" s="19"/>
      <c r="R15" s="32"/>
      <c r="S15" s="19"/>
      <c r="T15" s="19"/>
      <c r="U15" s="32"/>
      <c r="V15" s="19"/>
      <c r="W15" s="32"/>
      <c r="X15" s="19"/>
      <c r="Y15" s="32"/>
      <c r="Z15" s="19"/>
      <c r="AA15" s="423"/>
      <c r="AB15" s="3"/>
      <c r="AC15" s="139" t="s">
        <v>534</v>
      </c>
      <c r="AD15" s="3"/>
    </row>
    <row r="16" spans="2:29" s="82" customFormat="1" ht="12.75">
      <c r="B16" s="435"/>
      <c r="C16" s="27" t="s">
        <v>35</v>
      </c>
      <c r="D16" s="436">
        <v>2370</v>
      </c>
      <c r="E16" s="436">
        <v>2612</v>
      </c>
      <c r="F16" s="436">
        <v>2583</v>
      </c>
      <c r="G16" s="436">
        <v>2645</v>
      </c>
      <c r="H16" s="436">
        <v>10210</v>
      </c>
      <c r="I16" s="436"/>
      <c r="J16" s="436">
        <v>2365</v>
      </c>
      <c r="K16" s="433">
        <v>-0.002109704641350185</v>
      </c>
      <c r="L16" s="436">
        <v>2551</v>
      </c>
      <c r="M16" s="433">
        <v>-0.023353751914241938</v>
      </c>
      <c r="N16" s="436">
        <v>2513</v>
      </c>
      <c r="O16" s="433">
        <v>-0.027100271002710064</v>
      </c>
      <c r="P16" s="436">
        <v>2493</v>
      </c>
      <c r="Q16" s="433">
        <v>-0.05746691871455578</v>
      </c>
      <c r="R16" s="436">
        <v>9922</v>
      </c>
      <c r="S16" s="433">
        <v>-0.028207639569049925</v>
      </c>
      <c r="T16" s="433"/>
      <c r="U16" s="436">
        <v>2236</v>
      </c>
      <c r="V16" s="433">
        <v>-0.054545454545454564</v>
      </c>
      <c r="W16" s="436">
        <v>2434</v>
      </c>
      <c r="X16" s="433">
        <v>-0.04586436691493534</v>
      </c>
      <c r="Y16" s="436">
        <v>2451</v>
      </c>
      <c r="Z16" s="433">
        <f aca="true" t="shared" si="0" ref="Z16:Z23">+Y16/N16-1</f>
        <v>-0.02467170712296063</v>
      </c>
      <c r="AA16" s="1390"/>
      <c r="AB16" s="3"/>
      <c r="AC16" s="139" t="s">
        <v>535</v>
      </c>
    </row>
    <row r="17" spans="2:30" ht="12.75">
      <c r="B17" s="15"/>
      <c r="C17" s="84" t="s">
        <v>34</v>
      </c>
      <c r="D17" s="436">
        <v>2263</v>
      </c>
      <c r="E17" s="436">
        <v>2351</v>
      </c>
      <c r="F17" s="436">
        <v>2420</v>
      </c>
      <c r="G17" s="436">
        <v>2364</v>
      </c>
      <c r="H17" s="436">
        <v>9398</v>
      </c>
      <c r="I17" s="436"/>
      <c r="J17" s="436">
        <v>2274</v>
      </c>
      <c r="K17" s="433">
        <v>0.004860804242156513</v>
      </c>
      <c r="L17" s="436">
        <v>2321</v>
      </c>
      <c r="M17" s="433">
        <v>-0.012760527435134006</v>
      </c>
      <c r="N17" s="436">
        <v>2366</v>
      </c>
      <c r="O17" s="433">
        <v>-0.02271788517141682</v>
      </c>
      <c r="P17" s="436">
        <v>2188</v>
      </c>
      <c r="Q17" s="433">
        <v>-0.0744500846023689</v>
      </c>
      <c r="R17" s="436">
        <v>9149</v>
      </c>
      <c r="S17" s="433">
        <v>-0.02649499893594387</v>
      </c>
      <c r="T17" s="433"/>
      <c r="U17" s="436">
        <v>2136</v>
      </c>
      <c r="V17" s="433">
        <v>-0.06068601583113453</v>
      </c>
      <c r="W17" s="436">
        <v>2209</v>
      </c>
      <c r="X17" s="433">
        <v>-0.049</v>
      </c>
      <c r="Y17" s="436">
        <v>2267</v>
      </c>
      <c r="Z17" s="433">
        <v>-0.042</v>
      </c>
      <c r="AA17" s="1390"/>
      <c r="AC17" s="139" t="s">
        <v>545</v>
      </c>
      <c r="AD17" s="82"/>
    </row>
    <row r="18" spans="2:29" ht="12.75">
      <c r="B18" s="15"/>
      <c r="C18" s="85" t="s">
        <v>124</v>
      </c>
      <c r="D18" s="438">
        <v>1312</v>
      </c>
      <c r="E18" s="438">
        <v>1373</v>
      </c>
      <c r="F18" s="438">
        <v>1449</v>
      </c>
      <c r="G18" s="438">
        <v>1415</v>
      </c>
      <c r="H18" s="438">
        <v>5549</v>
      </c>
      <c r="I18" s="438"/>
      <c r="J18" s="438">
        <v>1331</v>
      </c>
      <c r="K18" s="433">
        <v>0.0144817073170731</v>
      </c>
      <c r="L18" s="438">
        <v>1296</v>
      </c>
      <c r="M18" s="433">
        <v>-0.056081573197378054</v>
      </c>
      <c r="N18" s="438">
        <v>1367</v>
      </c>
      <c r="O18" s="433">
        <v>-0.0565907522429262</v>
      </c>
      <c r="P18" s="438">
        <v>1247</v>
      </c>
      <c r="Q18" s="433">
        <v>-0.11872791519434633</v>
      </c>
      <c r="R18" s="438">
        <v>5241</v>
      </c>
      <c r="S18" s="433">
        <v>-0.055505496485853345</v>
      </c>
      <c r="T18" s="433"/>
      <c r="U18" s="438">
        <v>1197</v>
      </c>
      <c r="V18" s="433">
        <v>-0.10067618332081141</v>
      </c>
      <c r="W18" s="438">
        <v>1235</v>
      </c>
      <c r="X18" s="433">
        <v>-0.047067901234567944</v>
      </c>
      <c r="Y18" s="438">
        <v>1284</v>
      </c>
      <c r="Z18" s="433">
        <f t="shared" si="0"/>
        <v>-0.0607168983174835</v>
      </c>
      <c r="AA18" s="1390"/>
      <c r="AC18" s="139" t="s">
        <v>109</v>
      </c>
    </row>
    <row r="19" spans="2:29" ht="12.75">
      <c r="B19" s="15"/>
      <c r="C19" s="85" t="s">
        <v>36</v>
      </c>
      <c r="D19" s="438">
        <v>445</v>
      </c>
      <c r="E19" s="438">
        <v>461</v>
      </c>
      <c r="F19" s="438">
        <v>419</v>
      </c>
      <c r="G19" s="438">
        <v>418</v>
      </c>
      <c r="H19" s="438">
        <v>1743</v>
      </c>
      <c r="I19" s="438"/>
      <c r="J19" s="438">
        <v>410</v>
      </c>
      <c r="K19" s="433">
        <v>-0.0786516853932584</v>
      </c>
      <c r="L19" s="438">
        <v>425</v>
      </c>
      <c r="M19" s="433">
        <v>-0.0780911062906724</v>
      </c>
      <c r="N19" s="438">
        <v>365</v>
      </c>
      <c r="O19" s="433">
        <v>-0.129</v>
      </c>
      <c r="P19" s="438">
        <v>314</v>
      </c>
      <c r="Q19" s="433">
        <v>-0.24880382775119614</v>
      </c>
      <c r="R19" s="438">
        <v>1514</v>
      </c>
      <c r="S19" s="433">
        <v>-0.13138267355134825</v>
      </c>
      <c r="T19" s="433"/>
      <c r="U19" s="438">
        <v>352</v>
      </c>
      <c r="V19" s="433">
        <v>-0.14146341463414636</v>
      </c>
      <c r="W19" s="438">
        <v>363</v>
      </c>
      <c r="X19" s="433">
        <v>-0.145</v>
      </c>
      <c r="Y19" s="438">
        <v>316</v>
      </c>
      <c r="Z19" s="433">
        <f t="shared" si="0"/>
        <v>-0.13424657534246576</v>
      </c>
      <c r="AA19" s="1390"/>
      <c r="AB19" s="82"/>
      <c r="AC19" s="139" t="s">
        <v>157</v>
      </c>
    </row>
    <row r="20" spans="2:29" ht="12.75">
      <c r="B20" s="15"/>
      <c r="C20" s="85" t="s">
        <v>38</v>
      </c>
      <c r="D20" s="438">
        <v>100</v>
      </c>
      <c r="E20" s="438">
        <v>130</v>
      </c>
      <c r="F20" s="438">
        <v>120</v>
      </c>
      <c r="G20" s="438">
        <v>107</v>
      </c>
      <c r="H20" s="438">
        <v>457</v>
      </c>
      <c r="I20" s="438"/>
      <c r="J20" s="438">
        <v>82</v>
      </c>
      <c r="K20" s="433">
        <v>-0.18</v>
      </c>
      <c r="L20" s="438">
        <v>135</v>
      </c>
      <c r="M20" s="433">
        <v>0.03846153846153855</v>
      </c>
      <c r="N20" s="438">
        <v>147</v>
      </c>
      <c r="O20" s="433">
        <v>0.225</v>
      </c>
      <c r="P20" s="438">
        <v>102</v>
      </c>
      <c r="Q20" s="433">
        <v>-0.04672897196261683</v>
      </c>
      <c r="R20" s="438">
        <v>466</v>
      </c>
      <c r="S20" s="433">
        <v>0.01969365426695835</v>
      </c>
      <c r="T20" s="433"/>
      <c r="U20" s="438">
        <v>69</v>
      </c>
      <c r="V20" s="433">
        <v>-0.1585365853658537</v>
      </c>
      <c r="W20" s="438">
        <v>91</v>
      </c>
      <c r="X20" s="433">
        <v>-0.325</v>
      </c>
      <c r="Y20" s="438">
        <f>103+15</f>
        <v>118</v>
      </c>
      <c r="Z20" s="433">
        <f t="shared" si="0"/>
        <v>-0.19727891156462585</v>
      </c>
      <c r="AA20" s="1390"/>
      <c r="AB20" s="82"/>
      <c r="AC20" s="1469" t="s">
        <v>382</v>
      </c>
    </row>
    <row r="21" spans="2:29" ht="12.75">
      <c r="B21" s="15"/>
      <c r="C21" s="85" t="s">
        <v>349</v>
      </c>
      <c r="D21" s="438">
        <v>406</v>
      </c>
      <c r="E21" s="438">
        <v>387</v>
      </c>
      <c r="F21" s="438">
        <v>432</v>
      </c>
      <c r="G21" s="438">
        <v>424</v>
      </c>
      <c r="H21" s="438">
        <v>1649</v>
      </c>
      <c r="I21" s="438"/>
      <c r="J21" s="438">
        <v>451</v>
      </c>
      <c r="K21" s="433">
        <v>0.11083743842364524</v>
      </c>
      <c r="L21" s="438">
        <v>465</v>
      </c>
      <c r="M21" s="433">
        <v>0.20155038759689914</v>
      </c>
      <c r="N21" s="438">
        <v>487</v>
      </c>
      <c r="O21" s="433">
        <v>0.12731481481481488</v>
      </c>
      <c r="P21" s="438">
        <v>525</v>
      </c>
      <c r="Q21" s="433">
        <v>0.2382075471698113</v>
      </c>
      <c r="R21" s="438">
        <v>1928</v>
      </c>
      <c r="S21" s="433">
        <v>0.1691934505761068</v>
      </c>
      <c r="T21" s="433"/>
      <c r="U21" s="438">
        <v>518</v>
      </c>
      <c r="V21" s="433">
        <v>0.14855875831485577</v>
      </c>
      <c r="W21" s="438">
        <v>519</v>
      </c>
      <c r="X21" s="433">
        <v>0.114</v>
      </c>
      <c r="Y21" s="438">
        <v>549</v>
      </c>
      <c r="Z21" s="433">
        <f t="shared" si="0"/>
        <v>0.1273100616016427</v>
      </c>
      <c r="AA21" s="1390"/>
      <c r="AC21" s="162" t="s">
        <v>312</v>
      </c>
    </row>
    <row r="22" spans="2:29" ht="12.75">
      <c r="B22" s="134"/>
      <c r="C22" s="86" t="s">
        <v>82</v>
      </c>
      <c r="D22" s="438">
        <v>249</v>
      </c>
      <c r="E22" s="438">
        <v>242</v>
      </c>
      <c r="F22" s="438">
        <v>263</v>
      </c>
      <c r="G22" s="438">
        <v>283</v>
      </c>
      <c r="H22" s="438">
        <v>1037</v>
      </c>
      <c r="I22" s="438"/>
      <c r="J22" s="438">
        <v>261.129</v>
      </c>
      <c r="K22" s="433">
        <v>0.04871084337349396</v>
      </c>
      <c r="L22" s="438">
        <v>264</v>
      </c>
      <c r="M22" s="433">
        <v>0.09</v>
      </c>
      <c r="N22" s="438">
        <v>263</v>
      </c>
      <c r="O22" s="433">
        <v>0</v>
      </c>
      <c r="P22" s="438">
        <v>268.871</v>
      </c>
      <c r="Q22" s="433">
        <v>-0.04992579505300365</v>
      </c>
      <c r="R22" s="438">
        <v>1057</v>
      </c>
      <c r="S22" s="433">
        <v>0.01928640308582441</v>
      </c>
      <c r="T22" s="433"/>
      <c r="U22" s="438">
        <v>261</v>
      </c>
      <c r="V22" s="433">
        <v>-0.0004940087083395994</v>
      </c>
      <c r="W22" s="438">
        <v>251</v>
      </c>
      <c r="X22" s="433">
        <v>-0.0492424242424242</v>
      </c>
      <c r="Y22" s="438">
        <v>262</v>
      </c>
      <c r="Z22" s="433">
        <f t="shared" si="0"/>
        <v>-0.0038022813688213253</v>
      </c>
      <c r="AA22" s="1390"/>
      <c r="AC22" s="1214"/>
    </row>
    <row r="23" spans="2:29" ht="12.75">
      <c r="B23" s="15"/>
      <c r="C23" s="86" t="s">
        <v>99</v>
      </c>
      <c r="D23" s="438">
        <v>157</v>
      </c>
      <c r="E23" s="438">
        <v>145</v>
      </c>
      <c r="F23" s="438">
        <v>169</v>
      </c>
      <c r="G23" s="438">
        <v>141</v>
      </c>
      <c r="H23" s="438">
        <v>612</v>
      </c>
      <c r="I23" s="438"/>
      <c r="J23" s="438">
        <v>189.87099999999998</v>
      </c>
      <c r="K23" s="433">
        <v>0.2093694267515922</v>
      </c>
      <c r="L23" s="438">
        <v>201</v>
      </c>
      <c r="M23" s="433">
        <v>0.38620689655172424</v>
      </c>
      <c r="N23" s="438">
        <v>224</v>
      </c>
      <c r="O23" s="433">
        <v>0.32544378698224863</v>
      </c>
      <c r="P23" s="438">
        <v>255.12900000000002</v>
      </c>
      <c r="Q23" s="433">
        <v>0.8094255319148937</v>
      </c>
      <c r="R23" s="438">
        <v>870</v>
      </c>
      <c r="S23" s="433">
        <v>0.42156862745098045</v>
      </c>
      <c r="T23" s="433"/>
      <c r="U23" s="438">
        <v>256</v>
      </c>
      <c r="V23" s="433">
        <v>0.3482838348141635</v>
      </c>
      <c r="W23" s="438">
        <v>268</v>
      </c>
      <c r="X23" s="433">
        <v>0.33333333333333326</v>
      </c>
      <c r="Y23" s="438">
        <v>287</v>
      </c>
      <c r="Z23" s="433">
        <f t="shared" si="0"/>
        <v>0.28125</v>
      </c>
      <c r="AA23" s="1390"/>
      <c r="AC23" s="1214"/>
    </row>
    <row r="24" spans="2:30" s="82" customFormat="1" ht="12.75">
      <c r="B24" s="435"/>
      <c r="C24" s="85" t="s">
        <v>40</v>
      </c>
      <c r="D24" s="175">
        <v>0.1794078656650464</v>
      </c>
      <c r="E24" s="175">
        <v>0.1646108039132284</v>
      </c>
      <c r="F24" s="175">
        <v>0.17843866171003717</v>
      </c>
      <c r="G24" s="175">
        <v>0.17943292424883622</v>
      </c>
      <c r="H24" s="175">
        <v>0.1754628644392424</v>
      </c>
      <c r="I24" s="365"/>
      <c r="J24" s="175">
        <v>0.198</v>
      </c>
      <c r="K24" s="439">
        <v>1.8592134334953603</v>
      </c>
      <c r="L24" s="175">
        <v>0.2003446790176648</v>
      </c>
      <c r="M24" s="439">
        <v>3.5</v>
      </c>
      <c r="N24" s="175">
        <v>0.20583262890955198</v>
      </c>
      <c r="O24" s="439">
        <v>2.8</v>
      </c>
      <c r="P24" s="175">
        <v>0.23994515539305303</v>
      </c>
      <c r="Q24" s="439">
        <v>6.05122311442168</v>
      </c>
      <c r="R24" s="175">
        <v>0.21073341348781288</v>
      </c>
      <c r="S24" s="439">
        <v>3.5270549048570494</v>
      </c>
      <c r="T24" s="439"/>
      <c r="U24" s="175">
        <v>0.24250936329588016</v>
      </c>
      <c r="V24" s="439">
        <v>4.450936329588015</v>
      </c>
      <c r="W24" s="175">
        <v>0.2349479402444545</v>
      </c>
      <c r="X24" s="439">
        <v>3.4603261226789694</v>
      </c>
      <c r="Y24" s="175">
        <f>+Y21/Y17</f>
        <v>0.24217026907807676</v>
      </c>
      <c r="Z24" s="439">
        <f>+(Y24-N24)*100</f>
        <v>3.6337640168524783</v>
      </c>
      <c r="AA24" s="1392"/>
      <c r="AB24" s="3"/>
      <c r="AC24" s="1218"/>
      <c r="AD24" s="3"/>
    </row>
    <row r="25" spans="2:30" ht="12.75">
      <c r="B25" s="15"/>
      <c r="C25" s="84" t="s">
        <v>39</v>
      </c>
      <c r="D25" s="436">
        <v>107</v>
      </c>
      <c r="E25" s="436">
        <v>261</v>
      </c>
      <c r="F25" s="436">
        <v>163</v>
      </c>
      <c r="G25" s="436">
        <v>281</v>
      </c>
      <c r="H25" s="436">
        <v>812</v>
      </c>
      <c r="I25" s="436"/>
      <c r="J25" s="436">
        <v>91</v>
      </c>
      <c r="K25" s="433">
        <v>-0.14953271028037385</v>
      </c>
      <c r="L25" s="436">
        <v>230</v>
      </c>
      <c r="M25" s="433">
        <v>-0.11877394636015326</v>
      </c>
      <c r="N25" s="436">
        <v>147</v>
      </c>
      <c r="O25" s="433">
        <v>-0.098</v>
      </c>
      <c r="P25" s="436">
        <v>306</v>
      </c>
      <c r="Q25" s="433">
        <v>0.08896797153024916</v>
      </c>
      <c r="R25" s="436">
        <v>774</v>
      </c>
      <c r="S25" s="433">
        <v>-0.046798029556650245</v>
      </c>
      <c r="T25" s="433"/>
      <c r="U25" s="436">
        <v>100</v>
      </c>
      <c r="V25" s="433">
        <v>0.098901098901099</v>
      </c>
      <c r="W25" s="436">
        <v>225</v>
      </c>
      <c r="X25" s="433">
        <v>-0.023</v>
      </c>
      <c r="Y25" s="436">
        <v>183</v>
      </c>
      <c r="Z25" s="433">
        <f>+Y25/N25-1</f>
        <v>0.24489795918367352</v>
      </c>
      <c r="AA25" s="1390"/>
      <c r="AC25" s="1214"/>
      <c r="AD25" s="82"/>
    </row>
    <row r="26" spans="2:29" ht="12.75">
      <c r="B26" s="15"/>
      <c r="C26" s="84"/>
      <c r="D26" s="79"/>
      <c r="E26" s="79"/>
      <c r="F26" s="440"/>
      <c r="G26" s="79"/>
      <c r="H26" s="148"/>
      <c r="I26" s="148"/>
      <c r="J26" s="79"/>
      <c r="K26" s="79"/>
      <c r="L26" s="79"/>
      <c r="M26" s="79"/>
      <c r="N26" s="79"/>
      <c r="O26" s="79"/>
      <c r="P26" s="79"/>
      <c r="Q26" s="79"/>
      <c r="R26" s="79"/>
      <c r="S26" s="79"/>
      <c r="T26" s="79"/>
      <c r="U26" s="79"/>
      <c r="V26" s="32"/>
      <c r="W26" s="19"/>
      <c r="X26" s="19"/>
      <c r="Y26" s="19"/>
      <c r="Z26" s="19"/>
      <c r="AA26" s="1381"/>
      <c r="AC26" s="1218"/>
    </row>
    <row r="27" spans="2:29" s="1214" customFormat="1" ht="10.5" customHeight="1">
      <c r="B27" s="1208"/>
      <c r="C27" s="1239" t="s">
        <v>544</v>
      </c>
      <c r="D27" s="1230"/>
      <c r="E27" s="1230"/>
      <c r="F27" s="1230"/>
      <c r="G27" s="1230"/>
      <c r="H27" s="1231"/>
      <c r="I27" s="1231"/>
      <c r="J27" s="1230"/>
      <c r="K27" s="1230"/>
      <c r="L27" s="1230"/>
      <c r="M27" s="1230"/>
      <c r="N27" s="1230"/>
      <c r="O27" s="1230"/>
      <c r="P27" s="1230"/>
      <c r="Q27" s="1230"/>
      <c r="R27" s="1230"/>
      <c r="S27" s="1230"/>
      <c r="T27" s="1230"/>
      <c r="U27" s="1230"/>
      <c r="V27" s="1230"/>
      <c r="W27" s="1233"/>
      <c r="X27" s="1233"/>
      <c r="Y27" s="1233"/>
      <c r="Z27" s="1233"/>
      <c r="AA27" s="1232"/>
      <c r="AC27" s="1218"/>
    </row>
    <row r="28" spans="2:29" s="1214" customFormat="1" ht="10.5" customHeight="1">
      <c r="B28" s="1208"/>
      <c r="C28" s="1239" t="s">
        <v>374</v>
      </c>
      <c r="D28" s="1233"/>
      <c r="E28" s="1233"/>
      <c r="F28" s="1233"/>
      <c r="G28" s="1233"/>
      <c r="H28" s="1234"/>
      <c r="I28" s="1234"/>
      <c r="J28" s="1233"/>
      <c r="K28" s="1233"/>
      <c r="L28" s="1233"/>
      <c r="M28" s="1233"/>
      <c r="N28" s="1233"/>
      <c r="O28" s="1233"/>
      <c r="P28" s="1233"/>
      <c r="Q28" s="1233"/>
      <c r="R28" s="1233"/>
      <c r="S28" s="1233"/>
      <c r="T28" s="1233"/>
      <c r="U28" s="1233"/>
      <c r="V28" s="1233"/>
      <c r="W28" s="1233"/>
      <c r="X28" s="1233"/>
      <c r="Y28" s="1233"/>
      <c r="Z28" s="1233"/>
      <c r="AA28" s="1232"/>
      <c r="AB28" s="1235"/>
      <c r="AC28" s="3"/>
    </row>
    <row r="29" spans="2:29" s="1218" customFormat="1" ht="10.5" customHeight="1">
      <c r="B29" s="1208"/>
      <c r="C29" s="1239" t="s">
        <v>375</v>
      </c>
      <c r="D29" s="1233"/>
      <c r="E29" s="1233"/>
      <c r="F29" s="1233"/>
      <c r="G29" s="1233"/>
      <c r="H29" s="1234"/>
      <c r="I29" s="1234"/>
      <c r="J29" s="1233"/>
      <c r="K29" s="1233"/>
      <c r="L29" s="1233"/>
      <c r="M29" s="1233"/>
      <c r="N29" s="1233"/>
      <c r="O29" s="1233"/>
      <c r="P29" s="1233"/>
      <c r="Q29" s="1233"/>
      <c r="R29" s="1233"/>
      <c r="S29" s="1233"/>
      <c r="T29" s="1233"/>
      <c r="U29" s="1233"/>
      <c r="V29" s="1233"/>
      <c r="W29" s="1233"/>
      <c r="X29" s="1233"/>
      <c r="Y29" s="1233"/>
      <c r="Z29" s="1233"/>
      <c r="AA29" s="1232"/>
      <c r="AB29" s="1236"/>
      <c r="AC29" s="3"/>
    </row>
    <row r="30" spans="2:29" s="1214" customFormat="1" ht="10.5" customHeight="1">
      <c r="B30" s="1208"/>
      <c r="C30" s="1239" t="s">
        <v>376</v>
      </c>
      <c r="D30" s="1233"/>
      <c r="E30" s="1233"/>
      <c r="F30" s="1233"/>
      <c r="G30" s="1233"/>
      <c r="H30" s="1234"/>
      <c r="I30" s="1234"/>
      <c r="J30" s="1233"/>
      <c r="K30" s="1233"/>
      <c r="L30" s="1233"/>
      <c r="M30" s="1233"/>
      <c r="N30" s="1233"/>
      <c r="O30" s="1233"/>
      <c r="P30" s="1233"/>
      <c r="Q30" s="1233"/>
      <c r="R30" s="1233"/>
      <c r="S30" s="1233"/>
      <c r="T30" s="1233"/>
      <c r="U30" s="1233"/>
      <c r="V30" s="1233"/>
      <c r="W30" s="1233"/>
      <c r="X30" s="1233"/>
      <c r="Y30" s="1233"/>
      <c r="Z30" s="1233"/>
      <c r="AA30" s="1232"/>
      <c r="AC30" s="3"/>
    </row>
    <row r="31" spans="2:29" s="1218" customFormat="1" ht="10.5" customHeight="1">
      <c r="B31" s="1208"/>
      <c r="C31" s="1239" t="s">
        <v>526</v>
      </c>
      <c r="D31" s="1233"/>
      <c r="E31" s="1233"/>
      <c r="F31" s="1233"/>
      <c r="G31" s="1233"/>
      <c r="H31" s="1234"/>
      <c r="I31" s="1234"/>
      <c r="J31" s="1233"/>
      <c r="K31" s="1233"/>
      <c r="L31" s="1233"/>
      <c r="M31" s="1233"/>
      <c r="N31" s="1233"/>
      <c r="O31" s="1233"/>
      <c r="P31" s="1233"/>
      <c r="Q31" s="1233"/>
      <c r="R31" s="1233"/>
      <c r="S31" s="1233"/>
      <c r="T31" s="1233"/>
      <c r="U31" s="1233"/>
      <c r="V31" s="1233"/>
      <c r="W31" s="1233"/>
      <c r="X31" s="1233"/>
      <c r="Y31" s="1233"/>
      <c r="Z31" s="1233"/>
      <c r="AA31" s="1232"/>
      <c r="AC31" s="3"/>
    </row>
    <row r="32" spans="2:29" s="1218" customFormat="1" ht="10.5" customHeight="1">
      <c r="B32" s="1219"/>
      <c r="C32" s="1240"/>
      <c r="D32" s="1237"/>
      <c r="E32" s="1237"/>
      <c r="F32" s="1237"/>
      <c r="G32" s="1237"/>
      <c r="H32" s="1238"/>
      <c r="I32" s="1238"/>
      <c r="J32" s="1237"/>
      <c r="K32" s="1237"/>
      <c r="L32" s="1237"/>
      <c r="M32" s="1237"/>
      <c r="N32" s="1237"/>
      <c r="O32" s="1237"/>
      <c r="P32" s="1237"/>
      <c r="Q32" s="1237"/>
      <c r="R32" s="1237"/>
      <c r="S32" s="1237"/>
      <c r="T32" s="1237"/>
      <c r="U32" s="1237"/>
      <c r="V32" s="1237"/>
      <c r="W32" s="1237"/>
      <c r="X32" s="1237"/>
      <c r="Y32" s="1237"/>
      <c r="Z32" s="1237"/>
      <c r="AA32" s="1431"/>
      <c r="AC32" s="3"/>
    </row>
    <row r="33" spans="2:27" ht="12.75">
      <c r="B33" s="1"/>
      <c r="C33" s="1229"/>
      <c r="D33" s="1229"/>
      <c r="E33" s="1229"/>
      <c r="F33" s="1229"/>
      <c r="G33" s="1229"/>
      <c r="H33" s="1229"/>
      <c r="I33" s="1229"/>
      <c r="J33" s="1229"/>
      <c r="K33" s="1229"/>
      <c r="L33" s="1"/>
      <c r="M33" s="1"/>
      <c r="N33" s="1"/>
      <c r="O33" s="1"/>
      <c r="P33" s="1"/>
      <c r="Q33" s="1"/>
      <c r="R33" s="1351"/>
      <c r="S33" s="1351"/>
      <c r="T33" s="1"/>
      <c r="U33" s="1"/>
      <c r="V33" s="1"/>
      <c r="W33" s="1"/>
      <c r="X33" s="1"/>
      <c r="Y33" s="1"/>
      <c r="Z33" s="1"/>
      <c r="AA33" s="1"/>
    </row>
    <row r="34" spans="3:25" ht="12.75">
      <c r="C34" s="1"/>
      <c r="D34" s="1"/>
      <c r="E34" s="1"/>
      <c r="F34" s="1"/>
      <c r="G34" s="1"/>
      <c r="H34" s="1"/>
      <c r="I34" s="1"/>
      <c r="J34" s="1"/>
      <c r="K34" s="1"/>
      <c r="L34" s="1"/>
      <c r="M34" s="1"/>
      <c r="N34" s="1"/>
      <c r="O34" s="1"/>
      <c r="P34" s="1"/>
      <c r="Q34" s="1"/>
      <c r="R34" s="1"/>
      <c r="S34" s="1"/>
      <c r="T34" s="1"/>
      <c r="U34" s="1"/>
      <c r="V34" s="1"/>
      <c r="W34" s="1"/>
      <c r="Y34" s="1"/>
    </row>
    <row r="35" ht="17.25" customHeight="1"/>
    <row r="45" ht="12.75">
      <c r="C45" s="1404"/>
    </row>
  </sheetData>
  <sheetProtection password="DAD6" sheet="1" formatCells="0" formatColumns="0" formatRows="0" insertColumns="0" insertRows="0" insertHyperlinks="0" deleteColumns="0" deleteRows="0" sort="0" autoFilter="0" pivotTables="0"/>
  <hyperlinks>
    <hyperlink ref="AC11" location="'Domestic Business Results'!A1" display="Domestic Business Results"/>
    <hyperlink ref="AC12" location="'Domestic Wireline Results'!A1" display="Domestic Wireline Results"/>
    <hyperlink ref="AC13" location="'TIM Brasil Results'!A1" display="TIM Brasil Results"/>
    <hyperlink ref="AC14" location="'European BroadBand'!A1" display="European BroadBand"/>
    <hyperlink ref="AC18" location="'Main Group''s Subsidiries'!A1" display="Main Group's Subsidiaries"/>
    <hyperlink ref="AC7" location="'Key fin data by BU YTD'!A1" display="Key Financial data by BU YTD"/>
    <hyperlink ref="AC19" location="'Analyst Tools'!A1" display="Analyst Tools"/>
    <hyperlink ref="AC20" location="'Historic Data'!A1" display="Historic Data"/>
    <hyperlink ref="AC6" location="'P&amp;L Group by quarter'!A1" display="P&amp;L Group by quarter"/>
    <hyperlink ref="AC8" location="'Key fin. data by BU by quarter'!A1" display="Key Financial data by quarter"/>
    <hyperlink ref="AC5" location="'P&amp;L Group YTD'!A1" display="P&amp;L Group YTD"/>
    <hyperlink ref="AC9" location="'Balance Sheet'!A1" display="Balance Sheet"/>
    <hyperlink ref="AC10" location="'Cashflow Statement'!A1" display="Cashflow Statement"/>
    <hyperlink ref="AC15" location="'1Q Rep&amp;org.'!A1" display="Repoerted &amp; Organic figures"/>
    <hyperlink ref="AC16" location="'2Q Rep&amp;org.'!A1" display="Reported &amp; Organic figures 2Q08 vs 2Q07"/>
    <hyperlink ref="AC17" location="'3Q Rep&amp;org.'!A1" display="Reported &amp; Organic figures 3Q08 vs 3Q07"/>
    <hyperlink ref="AC21" location="Cover!A1" display="Cover"/>
  </hyperlinks>
  <printOptions horizontalCentered="1" verticalCentered="1"/>
  <pageMargins left="0" right="0" top="0" bottom="0" header="0.5118110236220472" footer="0.31496062992125984"/>
  <pageSetup horizontalDpi="600" verticalDpi="600" orientation="landscape" paperSize="9" scale="80" r:id="rId3"/>
  <drawing r:id="rId1"/>
  <legacyDrawingHF r:id="rId2"/>
</worksheet>
</file>

<file path=xl/worksheets/sheet11.xml><?xml version="1.0" encoding="utf-8"?>
<worksheet xmlns="http://schemas.openxmlformats.org/spreadsheetml/2006/main" xmlns:r="http://schemas.openxmlformats.org/officeDocument/2006/relationships">
  <sheetPr codeName="Foglio20"/>
  <dimension ref="B2:AF45"/>
  <sheetViews>
    <sheetView showGridLines="0" zoomScaleSheetLayoutView="100" workbookViewId="0" topLeftCell="A1">
      <pane xSplit="3" ySplit="3" topLeftCell="J4" activePane="bottomRight" state="frozen"/>
      <selection pane="topLeft" activeCell="E16" sqref="E16"/>
      <selection pane="topRight" activeCell="E16" sqref="E16"/>
      <selection pane="bottomLeft" activeCell="E16" sqref="E16"/>
      <selection pane="bottomRight" activeCell="J16" sqref="J16"/>
    </sheetView>
  </sheetViews>
  <sheetFormatPr defaultColWidth="9.140625" defaultRowHeight="12.75"/>
  <cols>
    <col min="1" max="1" width="0.9921875" style="3" customWidth="1"/>
    <col min="2" max="2" width="2.7109375" style="3" customWidth="1"/>
    <col min="3" max="3" width="44.140625" style="3" customWidth="1"/>
    <col min="4" max="7" width="8.00390625" style="3" hidden="1" customWidth="1"/>
    <col min="8" max="8" width="8.140625" style="3" hidden="1" customWidth="1"/>
    <col min="9" max="9" width="0.71875" style="464" hidden="1" customWidth="1"/>
    <col min="10" max="10" width="8.00390625" style="3" bestFit="1" customWidth="1"/>
    <col min="11" max="11" width="9.8515625" style="465" bestFit="1" customWidth="1"/>
    <col min="12" max="12" width="0.71875" style="464" customWidth="1"/>
    <col min="13" max="13" width="8.00390625" style="3" bestFit="1" customWidth="1"/>
    <col min="14" max="14" width="10.28125" style="465" bestFit="1" customWidth="1"/>
    <col min="15" max="15" width="0.71875" style="464" customWidth="1"/>
    <col min="16" max="16" width="9.00390625" style="3" bestFit="1" customWidth="1"/>
    <col min="17" max="17" width="9.8515625" style="465" bestFit="1" customWidth="1"/>
    <col min="18" max="18" width="9.00390625" style="3" bestFit="1" customWidth="1"/>
    <col min="19" max="19" width="9.8515625" style="465" bestFit="1" customWidth="1"/>
    <col min="20" max="20" width="8.140625" style="3" bestFit="1" customWidth="1"/>
    <col min="21" max="21" width="9.8515625" style="465" bestFit="1" customWidth="1"/>
    <col min="22" max="22" width="1.421875" style="465" customWidth="1"/>
    <col min="23" max="23" width="8.140625" style="3" bestFit="1" customWidth="1"/>
    <col min="24" max="24" width="9.8515625" style="465" bestFit="1" customWidth="1"/>
    <col min="25" max="28" width="9.8515625" style="465" customWidth="1"/>
    <col min="29" max="30" width="2.00390625" style="3" customWidth="1"/>
    <col min="31" max="31" width="1.421875" style="3" customWidth="1"/>
    <col min="32" max="32" width="30.00390625" style="3" customWidth="1"/>
    <col min="33" max="16384" width="9.140625" style="3" customWidth="1"/>
  </cols>
  <sheetData>
    <row r="2" spans="2:32" ht="24.75" customHeight="1">
      <c r="B2" s="960"/>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8"/>
      <c r="AD2" s="115"/>
      <c r="AE2" s="38"/>
      <c r="AF2" s="1347"/>
    </row>
    <row r="3" spans="2:32" ht="12.75">
      <c r="B3" s="15"/>
      <c r="C3" s="61"/>
      <c r="D3" s="18" t="s">
        <v>2</v>
      </c>
      <c r="E3" s="18" t="s">
        <v>3</v>
      </c>
      <c r="F3" s="18" t="s">
        <v>4</v>
      </c>
      <c r="G3" s="18" t="s">
        <v>5</v>
      </c>
      <c r="H3" s="18" t="s">
        <v>88</v>
      </c>
      <c r="I3" s="466"/>
      <c r="J3" s="17" t="s">
        <v>6</v>
      </c>
      <c r="K3" s="467" t="s">
        <v>134</v>
      </c>
      <c r="L3" s="466"/>
      <c r="M3" s="17" t="s">
        <v>142</v>
      </c>
      <c r="N3" s="467" t="s">
        <v>134</v>
      </c>
      <c r="O3" s="466"/>
      <c r="P3" s="17" t="s">
        <v>150</v>
      </c>
      <c r="Q3" s="467" t="s">
        <v>134</v>
      </c>
      <c r="R3" s="17" t="s">
        <v>321</v>
      </c>
      <c r="S3" s="467" t="s">
        <v>134</v>
      </c>
      <c r="T3" s="17" t="s">
        <v>226</v>
      </c>
      <c r="U3" s="467" t="s">
        <v>134</v>
      </c>
      <c r="V3" s="467"/>
      <c r="W3" s="18" t="s">
        <v>339</v>
      </c>
      <c r="X3" s="1387" t="s">
        <v>365</v>
      </c>
      <c r="Y3" s="18" t="s">
        <v>435</v>
      </c>
      <c r="Z3" s="1387" t="s">
        <v>365</v>
      </c>
      <c r="AA3" s="18" t="s">
        <v>537</v>
      </c>
      <c r="AB3" s="1387" t="s">
        <v>365</v>
      </c>
      <c r="AC3" s="33"/>
      <c r="AD3" s="79"/>
      <c r="AE3" s="38"/>
      <c r="AF3" s="30" t="s">
        <v>59</v>
      </c>
    </row>
    <row r="4" spans="2:32" ht="12.75">
      <c r="B4" s="15"/>
      <c r="C4" s="62" t="s">
        <v>14</v>
      </c>
      <c r="D4" s="316"/>
      <c r="E4" s="316"/>
      <c r="F4" s="316"/>
      <c r="G4" s="316"/>
      <c r="H4" s="316"/>
      <c r="I4" s="468"/>
      <c r="J4" s="316"/>
      <c r="K4" s="469"/>
      <c r="L4" s="468"/>
      <c r="M4" s="316"/>
      <c r="N4" s="469"/>
      <c r="O4" s="468"/>
      <c r="P4" s="316"/>
      <c r="Q4" s="469"/>
      <c r="R4" s="316"/>
      <c r="S4" s="469"/>
      <c r="T4" s="316"/>
      <c r="U4" s="469"/>
      <c r="V4" s="469"/>
      <c r="W4" s="316"/>
      <c r="X4" s="469"/>
      <c r="Y4" s="316"/>
      <c r="Z4" s="469"/>
      <c r="AA4" s="316"/>
      <c r="AB4" s="469"/>
      <c r="AC4" s="33"/>
      <c r="AD4" s="79"/>
      <c r="AE4" s="38"/>
      <c r="AF4" s="31" t="s">
        <v>56</v>
      </c>
    </row>
    <row r="5" spans="2:32" ht="12.75">
      <c r="B5" s="15"/>
      <c r="C5" s="470" t="s">
        <v>377</v>
      </c>
      <c r="D5" s="172">
        <v>0.481</v>
      </c>
      <c r="E5" s="172">
        <v>0.492</v>
      </c>
      <c r="F5" s="172">
        <v>0.513</v>
      </c>
      <c r="G5" s="172">
        <v>0.532</v>
      </c>
      <c r="H5" s="138">
        <v>0.532</v>
      </c>
      <c r="I5" s="471"/>
      <c r="J5" s="172">
        <v>0.542</v>
      </c>
      <c r="K5" s="472">
        <v>6.2000000000000055</v>
      </c>
      <c r="L5" s="471"/>
      <c r="M5" s="172">
        <v>0.564</v>
      </c>
      <c r="N5" s="472">
        <v>7.3</v>
      </c>
      <c r="O5" s="471"/>
      <c r="P5" s="172">
        <v>0.594</v>
      </c>
      <c r="Q5" s="472">
        <v>8.2</v>
      </c>
      <c r="R5" s="172">
        <v>0.635</v>
      </c>
      <c r="S5" s="472">
        <v>10.3</v>
      </c>
      <c r="T5" s="138">
        <v>0.635</v>
      </c>
      <c r="U5" s="472">
        <v>10.3</v>
      </c>
      <c r="V5" s="472"/>
      <c r="W5" s="138">
        <v>0.658</v>
      </c>
      <c r="X5" s="472">
        <v>11.5</v>
      </c>
      <c r="Y5" s="138">
        <v>0.694</v>
      </c>
      <c r="Z5" s="472">
        <v>12.9</v>
      </c>
      <c r="AA5" s="138">
        <v>0.732</v>
      </c>
      <c r="AB5" s="472">
        <v>13.8</v>
      </c>
      <c r="AC5" s="33"/>
      <c r="AD5" s="79"/>
      <c r="AE5" s="38"/>
      <c r="AF5" s="139" t="s">
        <v>206</v>
      </c>
    </row>
    <row r="6" spans="2:32" s="462" customFormat="1" ht="12.75">
      <c r="B6" s="473"/>
      <c r="C6" s="474" t="s">
        <v>378</v>
      </c>
      <c r="D6" s="475">
        <v>0.235</v>
      </c>
      <c r="E6" s="475">
        <v>0.243</v>
      </c>
      <c r="F6" s="475">
        <v>0.251</v>
      </c>
      <c r="G6" s="475">
        <v>0.254</v>
      </c>
      <c r="H6" s="476">
        <v>0.254</v>
      </c>
      <c r="I6" s="477"/>
      <c r="J6" s="475">
        <v>0.258</v>
      </c>
      <c r="K6" s="472">
        <v>2.3</v>
      </c>
      <c r="L6" s="477"/>
      <c r="M6" s="475">
        <v>0.258</v>
      </c>
      <c r="N6" s="472">
        <v>1.5</v>
      </c>
      <c r="O6" s="477"/>
      <c r="P6" s="475">
        <v>0.259</v>
      </c>
      <c r="Q6" s="472">
        <v>0.8000000000000007</v>
      </c>
      <c r="R6" s="475">
        <v>0.258</v>
      </c>
      <c r="S6" s="472">
        <v>0.4</v>
      </c>
      <c r="T6" s="476">
        <v>0.258</v>
      </c>
      <c r="U6" s="472">
        <v>0.4</v>
      </c>
      <c r="V6" s="472"/>
      <c r="W6" s="476">
        <v>0.259</v>
      </c>
      <c r="X6" s="472">
        <v>0.1</v>
      </c>
      <c r="Y6" s="476">
        <v>0.254</v>
      </c>
      <c r="Z6" s="472">
        <v>-0.4</v>
      </c>
      <c r="AA6" s="476">
        <v>0.25</v>
      </c>
      <c r="AB6" s="472">
        <f>+(AA6-P6)*100</f>
        <v>-0.9000000000000008</v>
      </c>
      <c r="AC6" s="478"/>
      <c r="AD6" s="785"/>
      <c r="AE6" s="786"/>
      <c r="AF6" s="139" t="s">
        <v>208</v>
      </c>
    </row>
    <row r="7" spans="2:32" ht="12.75">
      <c r="B7" s="15"/>
      <c r="C7" s="470" t="s">
        <v>100</v>
      </c>
      <c r="D7" s="171">
        <v>21018</v>
      </c>
      <c r="E7" s="171">
        <v>22338</v>
      </c>
      <c r="F7" s="171">
        <v>24085</v>
      </c>
      <c r="G7" s="171">
        <v>25410</v>
      </c>
      <c r="H7" s="424">
        <v>25410</v>
      </c>
      <c r="I7" s="479"/>
      <c r="J7" s="171">
        <v>26307</v>
      </c>
      <c r="K7" s="475">
        <v>0.2516414501855553</v>
      </c>
      <c r="L7" s="479"/>
      <c r="M7" s="171">
        <v>27478</v>
      </c>
      <c r="N7" s="475">
        <v>0.23010117288924703</v>
      </c>
      <c r="O7" s="479"/>
      <c r="P7" s="171">
        <v>29160</v>
      </c>
      <c r="Q7" s="475">
        <v>0.21071206144903476</v>
      </c>
      <c r="R7" s="171">
        <v>31254</v>
      </c>
      <c r="S7" s="475">
        <v>0.22998819362455736</v>
      </c>
      <c r="T7" s="424">
        <v>31254</v>
      </c>
      <c r="U7" s="475">
        <v>0.22998819362455736</v>
      </c>
      <c r="V7" s="475"/>
      <c r="W7" s="424">
        <v>32533</v>
      </c>
      <c r="X7" s="475">
        <v>0.23666704679362915</v>
      </c>
      <c r="Y7" s="424">
        <v>33815</v>
      </c>
      <c r="Z7" s="475">
        <v>0.23062086032462337</v>
      </c>
      <c r="AA7" s="424">
        <v>35206</v>
      </c>
      <c r="AB7" s="475">
        <f>+AA7/P7-1</f>
        <v>0.2073388203017832</v>
      </c>
      <c r="AC7" s="33"/>
      <c r="AD7" s="79"/>
      <c r="AE7" s="38"/>
      <c r="AF7" s="139" t="s">
        <v>207</v>
      </c>
    </row>
    <row r="8" spans="2:32" ht="12.75">
      <c r="B8" s="15"/>
      <c r="C8" s="470" t="s">
        <v>151</v>
      </c>
      <c r="D8" s="171">
        <v>16696</v>
      </c>
      <c r="E8" s="171">
        <v>17744</v>
      </c>
      <c r="F8" s="171">
        <v>19138</v>
      </c>
      <c r="G8" s="171">
        <v>20005</v>
      </c>
      <c r="H8" s="424">
        <v>20005</v>
      </c>
      <c r="I8" s="479"/>
      <c r="J8" s="171">
        <v>20629</v>
      </c>
      <c r="K8" s="475">
        <v>0.23556540488739808</v>
      </c>
      <c r="L8" s="479"/>
      <c r="M8" s="171">
        <v>21435</v>
      </c>
      <c r="N8" s="475">
        <v>0.20790126239855722</v>
      </c>
      <c r="O8" s="479"/>
      <c r="P8" s="171">
        <v>22571</v>
      </c>
      <c r="Q8" s="475">
        <v>0.1793813355627547</v>
      </c>
      <c r="R8" s="171">
        <v>24483</v>
      </c>
      <c r="S8" s="475">
        <v>0.22384403899025251</v>
      </c>
      <c r="T8" s="424">
        <v>24483</v>
      </c>
      <c r="U8" s="475">
        <v>0.22384403899025251</v>
      </c>
      <c r="V8" s="475"/>
      <c r="W8" s="424">
        <v>25775</v>
      </c>
      <c r="X8" s="475">
        <v>0.24945465121915755</v>
      </c>
      <c r="Y8" s="424">
        <v>26994</v>
      </c>
      <c r="Z8" s="475">
        <v>0.25945971165959025</v>
      </c>
      <c r="AA8" s="424">
        <f>+AA7-AA9</f>
        <v>28386</v>
      </c>
      <c r="AB8" s="475">
        <f>+AA8/P8-1</f>
        <v>0.2576314740153294</v>
      </c>
      <c r="AC8" s="33"/>
      <c r="AD8" s="79"/>
      <c r="AE8" s="38"/>
      <c r="AF8" s="139" t="s">
        <v>223</v>
      </c>
    </row>
    <row r="9" spans="2:32" ht="12.75">
      <c r="B9" s="15"/>
      <c r="C9" s="470" t="s">
        <v>152</v>
      </c>
      <c r="D9" s="171">
        <v>4322</v>
      </c>
      <c r="E9" s="171">
        <v>4594</v>
      </c>
      <c r="F9" s="171">
        <v>4947</v>
      </c>
      <c r="G9" s="171">
        <v>5405</v>
      </c>
      <c r="H9" s="424">
        <v>5405</v>
      </c>
      <c r="I9" s="479"/>
      <c r="J9" s="171">
        <v>5678</v>
      </c>
      <c r="K9" s="475">
        <v>0.31374363720499776</v>
      </c>
      <c r="L9" s="479"/>
      <c r="M9" s="171">
        <v>6043</v>
      </c>
      <c r="N9" s="475">
        <v>0.31584675663909456</v>
      </c>
      <c r="O9" s="479"/>
      <c r="P9" s="171">
        <v>6589</v>
      </c>
      <c r="Q9" s="475">
        <v>0.33191833434404683</v>
      </c>
      <c r="R9" s="171">
        <v>6771</v>
      </c>
      <c r="S9" s="475">
        <v>0.2527289546716003</v>
      </c>
      <c r="T9" s="424">
        <v>6771</v>
      </c>
      <c r="U9" s="475">
        <v>0.2527289546716003</v>
      </c>
      <c r="V9" s="475"/>
      <c r="W9" s="424">
        <v>6758</v>
      </c>
      <c r="X9" s="475">
        <v>0.19020781965480804</v>
      </c>
      <c r="Y9" s="424">
        <v>6821</v>
      </c>
      <c r="Z9" s="475">
        <v>0.1283705541770057</v>
      </c>
      <c r="AA9" s="424">
        <v>6820</v>
      </c>
      <c r="AB9" s="475">
        <f>+AA9/P9-1</f>
        <v>0.03505843071786319</v>
      </c>
      <c r="AC9" s="33"/>
      <c r="AD9" s="79"/>
      <c r="AE9" s="38"/>
      <c r="AF9" s="139" t="s">
        <v>310</v>
      </c>
    </row>
    <row r="10" spans="2:32" ht="12.75">
      <c r="B10" s="15"/>
      <c r="C10" s="470" t="s">
        <v>113</v>
      </c>
      <c r="D10" s="480">
        <v>30</v>
      </c>
      <c r="E10" s="480">
        <v>30.2</v>
      </c>
      <c r="F10" s="480">
        <v>34.4</v>
      </c>
      <c r="G10" s="480">
        <v>37</v>
      </c>
      <c r="H10" s="480">
        <v>33.1</v>
      </c>
      <c r="I10" s="481"/>
      <c r="J10" s="480">
        <v>34.4</v>
      </c>
      <c r="K10" s="482">
        <v>0.14666666666666672</v>
      </c>
      <c r="L10" s="481"/>
      <c r="M10" s="480">
        <v>34.6</v>
      </c>
      <c r="N10" s="482">
        <v>0.14569536423841067</v>
      </c>
      <c r="O10" s="481"/>
      <c r="P10" s="480">
        <v>34</v>
      </c>
      <c r="Q10" s="482">
        <v>-0.011627906976744096</v>
      </c>
      <c r="R10" s="480">
        <v>34.5</v>
      </c>
      <c r="S10" s="482">
        <v>-0.06756756756756754</v>
      </c>
      <c r="T10" s="480">
        <v>34.4</v>
      </c>
      <c r="U10" s="482">
        <v>0.0392749244712991</v>
      </c>
      <c r="V10" s="482"/>
      <c r="W10" s="480">
        <v>29.5</v>
      </c>
      <c r="X10" s="482">
        <v>-0.1424418604651162</v>
      </c>
      <c r="Y10" s="480">
        <v>29.8</v>
      </c>
      <c r="Z10" s="482">
        <v>-0.138728323699422</v>
      </c>
      <c r="AA10" s="480">
        <v>29.7</v>
      </c>
      <c r="AB10" s="482">
        <f>+AA10/P10-1</f>
        <v>-0.1264705882352941</v>
      </c>
      <c r="AC10" s="33"/>
      <c r="AD10" s="79"/>
      <c r="AE10" s="38"/>
      <c r="AF10" s="139" t="s">
        <v>311</v>
      </c>
    </row>
    <row r="11" spans="2:32" ht="12.75">
      <c r="B11" s="15"/>
      <c r="C11" s="470" t="s">
        <v>41</v>
      </c>
      <c r="D11" s="80">
        <v>82</v>
      </c>
      <c r="E11" s="80">
        <v>82</v>
      </c>
      <c r="F11" s="80">
        <v>95</v>
      </c>
      <c r="G11" s="80">
        <v>95</v>
      </c>
      <c r="H11" s="80">
        <v>89</v>
      </c>
      <c r="I11" s="483"/>
      <c r="J11" s="80">
        <v>89</v>
      </c>
      <c r="K11" s="482">
        <v>0.08536585365853666</v>
      </c>
      <c r="L11" s="483"/>
      <c r="M11" s="80">
        <v>94</v>
      </c>
      <c r="N11" s="482">
        <v>0.14634146341463405</v>
      </c>
      <c r="O11" s="483"/>
      <c r="P11" s="80">
        <v>94</v>
      </c>
      <c r="Q11" s="482">
        <v>-0.010526315789473717</v>
      </c>
      <c r="R11" s="80">
        <v>106</v>
      </c>
      <c r="S11" s="482">
        <v>0.11578947368421044</v>
      </c>
      <c r="T11" s="80">
        <v>96</v>
      </c>
      <c r="U11" s="482">
        <v>0.0786516853932584</v>
      </c>
      <c r="V11" s="482"/>
      <c r="W11" s="80">
        <v>94</v>
      </c>
      <c r="X11" s="482">
        <v>0.05617977528089879</v>
      </c>
      <c r="Y11" s="80">
        <v>100</v>
      </c>
      <c r="Z11" s="482">
        <v>0.06382978723404253</v>
      </c>
      <c r="AA11" s="80">
        <v>101</v>
      </c>
      <c r="AB11" s="482">
        <f>+AA11/P11-1</f>
        <v>0.07446808510638303</v>
      </c>
      <c r="AC11" s="33"/>
      <c r="AD11" s="79"/>
      <c r="AE11" s="38"/>
      <c r="AF11" s="139" t="s">
        <v>12</v>
      </c>
    </row>
    <row r="12" spans="2:32" s="4" customFormat="1" ht="12.75">
      <c r="B12" s="484"/>
      <c r="C12" s="137"/>
      <c r="D12" s="204"/>
      <c r="E12" s="204"/>
      <c r="F12" s="204"/>
      <c r="G12" s="204"/>
      <c r="H12" s="204"/>
      <c r="I12" s="485"/>
      <c r="J12" s="204"/>
      <c r="K12" s="476"/>
      <c r="L12" s="485"/>
      <c r="M12" s="204"/>
      <c r="N12" s="476"/>
      <c r="O12" s="485"/>
      <c r="P12" s="204"/>
      <c r="Q12" s="476"/>
      <c r="R12" s="204"/>
      <c r="S12" s="476"/>
      <c r="T12" s="204"/>
      <c r="U12" s="476"/>
      <c r="V12" s="476"/>
      <c r="W12" s="204"/>
      <c r="X12" s="476"/>
      <c r="Y12" s="204"/>
      <c r="Z12" s="476"/>
      <c r="AA12" s="204"/>
      <c r="AB12" s="476"/>
      <c r="AC12" s="192"/>
      <c r="AD12" s="148"/>
      <c r="AE12" s="137"/>
      <c r="AF12" s="139" t="s">
        <v>220</v>
      </c>
    </row>
    <row r="13" spans="2:32" ht="12.75">
      <c r="B13" s="15"/>
      <c r="C13" s="83" t="s">
        <v>172</v>
      </c>
      <c r="D13" s="32"/>
      <c r="E13" s="32"/>
      <c r="F13" s="32"/>
      <c r="G13" s="32"/>
      <c r="H13" s="32"/>
      <c r="I13" s="466"/>
      <c r="J13" s="32"/>
      <c r="K13" s="486"/>
      <c r="L13" s="466"/>
      <c r="M13" s="32"/>
      <c r="N13" s="486"/>
      <c r="O13" s="466"/>
      <c r="P13" s="32"/>
      <c r="Q13" s="486"/>
      <c r="R13" s="32"/>
      <c r="S13" s="486"/>
      <c r="T13" s="32"/>
      <c r="U13" s="486"/>
      <c r="V13" s="486"/>
      <c r="W13" s="32"/>
      <c r="X13" s="486"/>
      <c r="Y13" s="32"/>
      <c r="Z13" s="486"/>
      <c r="AA13" s="32"/>
      <c r="AB13" s="486"/>
      <c r="AC13" s="33"/>
      <c r="AD13" s="79"/>
      <c r="AE13" s="38"/>
      <c r="AF13" s="139" t="s">
        <v>221</v>
      </c>
    </row>
    <row r="14" spans="2:32" s="82" customFormat="1" ht="12.75">
      <c r="B14" s="435"/>
      <c r="C14" s="27" t="s">
        <v>0</v>
      </c>
      <c r="D14" s="487">
        <v>2213</v>
      </c>
      <c r="E14" s="487">
        <v>2431</v>
      </c>
      <c r="F14" s="487">
        <v>2951</v>
      </c>
      <c r="G14" s="487">
        <v>3241</v>
      </c>
      <c r="H14" s="436">
        <v>10836</v>
      </c>
      <c r="I14" s="488"/>
      <c r="J14" s="487">
        <v>3040</v>
      </c>
      <c r="K14" s="489">
        <v>0.3737008585630366</v>
      </c>
      <c r="L14" s="488"/>
      <c r="M14" s="487">
        <v>3273</v>
      </c>
      <c r="N14" s="489">
        <v>0.34635952283011107</v>
      </c>
      <c r="O14" s="488"/>
      <c r="P14" s="487">
        <v>3381</v>
      </c>
      <c r="Q14" s="489">
        <v>0.1457133175194849</v>
      </c>
      <c r="R14" s="487">
        <v>3599</v>
      </c>
      <c r="S14" s="489">
        <v>0.11045973464979952</v>
      </c>
      <c r="T14" s="436">
        <v>13293</v>
      </c>
      <c r="U14" s="489">
        <v>0.2267441860465116</v>
      </c>
      <c r="V14" s="489"/>
      <c r="W14" s="436">
        <v>3183</v>
      </c>
      <c r="X14" s="489">
        <v>0.047039473684210575</v>
      </c>
      <c r="Y14" s="436">
        <v>3399</v>
      </c>
      <c r="Z14" s="489">
        <v>0.03849679193400557</v>
      </c>
      <c r="AA14" s="436">
        <v>3596</v>
      </c>
      <c r="AB14" s="489">
        <f>+AA14/P14-1</f>
        <v>0.0635906536527655</v>
      </c>
      <c r="AC14" s="437"/>
      <c r="AD14" s="787"/>
      <c r="AE14" s="140"/>
      <c r="AF14" s="139" t="s">
        <v>8</v>
      </c>
    </row>
    <row r="15" spans="2:32" s="82" customFormat="1" ht="12.75">
      <c r="B15" s="435"/>
      <c r="C15" s="37" t="s">
        <v>159</v>
      </c>
      <c r="D15" s="490">
        <v>1782</v>
      </c>
      <c r="E15" s="490">
        <v>1845</v>
      </c>
      <c r="F15" s="490">
        <v>2319</v>
      </c>
      <c r="G15" s="490">
        <v>2599</v>
      </c>
      <c r="H15" s="438">
        <v>8545</v>
      </c>
      <c r="I15" s="490"/>
      <c r="J15" s="490">
        <v>2501</v>
      </c>
      <c r="K15" s="475">
        <v>0.40347923681257014</v>
      </c>
      <c r="L15" s="490"/>
      <c r="M15" s="491">
        <v>2641</v>
      </c>
      <c r="N15" s="475">
        <v>0.43143631436314367</v>
      </c>
      <c r="O15" s="488"/>
      <c r="P15" s="490">
        <v>2720</v>
      </c>
      <c r="Q15" s="492">
        <v>0.17335058214747745</v>
      </c>
      <c r="R15" s="490">
        <v>2898</v>
      </c>
      <c r="S15" s="492">
        <v>0.11504424778761058</v>
      </c>
      <c r="T15" s="438">
        <v>10761</v>
      </c>
      <c r="U15" s="492">
        <v>0.2593329432416618</v>
      </c>
      <c r="V15" s="492"/>
      <c r="W15" s="438">
        <v>2643</v>
      </c>
      <c r="X15" s="492">
        <v>0.0567772890843663</v>
      </c>
      <c r="Y15" s="438">
        <v>2764</v>
      </c>
      <c r="Z15" s="492">
        <v>0.046573267701628174</v>
      </c>
      <c r="AA15" s="438">
        <v>2874</v>
      </c>
      <c r="AB15" s="492">
        <f>+AA15/P15-1</f>
        <v>0.05661764705882355</v>
      </c>
      <c r="AC15" s="437"/>
      <c r="AD15" s="787"/>
      <c r="AE15" s="140"/>
      <c r="AF15" s="139" t="s">
        <v>534</v>
      </c>
    </row>
    <row r="16" spans="2:32" s="82" customFormat="1" ht="12.75">
      <c r="B16" s="435"/>
      <c r="C16" s="37" t="s">
        <v>37</v>
      </c>
      <c r="D16" s="490">
        <v>136</v>
      </c>
      <c r="E16" s="490">
        <v>178</v>
      </c>
      <c r="F16" s="490">
        <v>163</v>
      </c>
      <c r="G16" s="490">
        <v>188</v>
      </c>
      <c r="H16" s="438">
        <v>665</v>
      </c>
      <c r="I16" s="490"/>
      <c r="J16" s="490">
        <v>190</v>
      </c>
      <c r="K16" s="475">
        <v>0.3970588235294117</v>
      </c>
      <c r="L16" s="490"/>
      <c r="M16" s="491">
        <v>200</v>
      </c>
      <c r="N16" s="475">
        <v>0.12359550561797761</v>
      </c>
      <c r="O16" s="488"/>
      <c r="P16" s="490">
        <v>241</v>
      </c>
      <c r="Q16" s="492">
        <v>0.4785276073619631</v>
      </c>
      <c r="R16" s="490">
        <v>282</v>
      </c>
      <c r="S16" s="492">
        <v>0.5</v>
      </c>
      <c r="T16" s="438">
        <v>913</v>
      </c>
      <c r="U16" s="492">
        <v>0.37293233082706756</v>
      </c>
      <c r="V16" s="492"/>
      <c r="W16" s="438">
        <v>245</v>
      </c>
      <c r="X16" s="492">
        <v>0.2894736842105263</v>
      </c>
      <c r="Y16" s="438">
        <v>298</v>
      </c>
      <c r="Z16" s="492">
        <v>0.49</v>
      </c>
      <c r="AA16" s="438">
        <v>302</v>
      </c>
      <c r="AB16" s="492">
        <f>+AA16/P16-1</f>
        <v>0.25311203319502074</v>
      </c>
      <c r="AC16" s="437"/>
      <c r="AD16" s="787"/>
      <c r="AE16" s="140"/>
      <c r="AF16" s="139" t="s">
        <v>535</v>
      </c>
    </row>
    <row r="17" spans="2:32" s="82" customFormat="1" ht="12.75">
      <c r="B17" s="435"/>
      <c r="C17" s="37" t="s">
        <v>160</v>
      </c>
      <c r="D17" s="490">
        <v>203</v>
      </c>
      <c r="E17" s="438">
        <v>333</v>
      </c>
      <c r="F17" s="490">
        <v>386</v>
      </c>
      <c r="G17" s="490">
        <v>324</v>
      </c>
      <c r="H17" s="438">
        <v>1246</v>
      </c>
      <c r="I17" s="490"/>
      <c r="J17" s="490">
        <v>210</v>
      </c>
      <c r="K17" s="475">
        <v>0.034482758620689724</v>
      </c>
      <c r="L17" s="490"/>
      <c r="M17" s="491">
        <v>320</v>
      </c>
      <c r="N17" s="475">
        <v>-0.03903903903903905</v>
      </c>
      <c r="O17" s="488"/>
      <c r="P17" s="490">
        <v>324</v>
      </c>
      <c r="Q17" s="492">
        <v>-0.1606217616580311</v>
      </c>
      <c r="R17" s="490">
        <v>311</v>
      </c>
      <c r="S17" s="492">
        <v>-0.04012345679012341</v>
      </c>
      <c r="T17" s="438">
        <v>1165</v>
      </c>
      <c r="U17" s="492">
        <v>-0.065008025682183</v>
      </c>
      <c r="V17" s="492"/>
      <c r="W17" s="438">
        <v>176</v>
      </c>
      <c r="X17" s="492">
        <v>-0.16190476190476188</v>
      </c>
      <c r="Y17" s="438">
        <v>237</v>
      </c>
      <c r="Z17" s="492">
        <v>-0.259375</v>
      </c>
      <c r="AA17" s="438">
        <v>324</v>
      </c>
      <c r="AB17" s="492">
        <f>+AA17/P17-1</f>
        <v>0</v>
      </c>
      <c r="AC17" s="437"/>
      <c r="AD17" s="787"/>
      <c r="AE17" s="140"/>
      <c r="AF17" s="139" t="s">
        <v>545</v>
      </c>
    </row>
    <row r="18" spans="2:32" ht="12.75">
      <c r="B18" s="15"/>
      <c r="C18" s="37"/>
      <c r="D18" s="490"/>
      <c r="E18" s="490"/>
      <c r="F18" s="490"/>
      <c r="G18" s="490"/>
      <c r="H18" s="438"/>
      <c r="I18" s="491"/>
      <c r="J18" s="490"/>
      <c r="K18" s="475"/>
      <c r="L18" s="491"/>
      <c r="M18" s="490"/>
      <c r="N18" s="475"/>
      <c r="O18" s="491"/>
      <c r="P18" s="493"/>
      <c r="Q18" s="475"/>
      <c r="R18" s="493"/>
      <c r="S18" s="475"/>
      <c r="T18" s="438"/>
      <c r="U18" s="475"/>
      <c r="V18" s="475"/>
      <c r="W18" s="438"/>
      <c r="X18" s="475"/>
      <c r="Y18" s="438"/>
      <c r="Z18" s="475"/>
      <c r="AA18" s="438"/>
      <c r="AB18" s="475"/>
      <c r="AC18" s="33"/>
      <c r="AD18" s="79"/>
      <c r="AE18" s="38"/>
      <c r="AF18" s="139" t="s">
        <v>109</v>
      </c>
    </row>
    <row r="19" spans="2:32" s="82" customFormat="1" ht="12.75">
      <c r="B19" s="435"/>
      <c r="C19" s="6" t="s">
        <v>45</v>
      </c>
      <c r="D19" s="487">
        <v>478</v>
      </c>
      <c r="E19" s="487">
        <v>476</v>
      </c>
      <c r="F19" s="487">
        <v>690</v>
      </c>
      <c r="G19" s="487">
        <v>952</v>
      </c>
      <c r="H19" s="436">
        <v>2596</v>
      </c>
      <c r="I19" s="488"/>
      <c r="J19" s="487">
        <v>745</v>
      </c>
      <c r="K19" s="489">
        <v>0.5585774058577406</v>
      </c>
      <c r="L19" s="488"/>
      <c r="M19" s="487">
        <v>846</v>
      </c>
      <c r="N19" s="489">
        <v>0.7773109243697478</v>
      </c>
      <c r="O19" s="488"/>
      <c r="P19" s="487">
        <v>625</v>
      </c>
      <c r="Q19" s="489">
        <v>-0.09420289855072461</v>
      </c>
      <c r="R19" s="487">
        <v>998</v>
      </c>
      <c r="S19" s="489">
        <v>0.04831932773109249</v>
      </c>
      <c r="T19" s="436">
        <v>3214</v>
      </c>
      <c r="U19" s="489">
        <v>0.2380585516178737</v>
      </c>
      <c r="V19" s="489"/>
      <c r="W19" s="436">
        <v>631</v>
      </c>
      <c r="X19" s="489">
        <v>-0.15302013422818794</v>
      </c>
      <c r="Y19" s="436">
        <v>720</v>
      </c>
      <c r="Z19" s="489">
        <v>-0.14893617021276595</v>
      </c>
      <c r="AA19" s="436">
        <v>890</v>
      </c>
      <c r="AB19" s="489">
        <f>+AA19/P19-1</f>
        <v>0.42399999999999993</v>
      </c>
      <c r="AC19" s="437"/>
      <c r="AD19" s="787"/>
      <c r="AE19" s="140"/>
      <c r="AF19" s="139" t="s">
        <v>157</v>
      </c>
    </row>
    <row r="20" spans="2:32" s="463" customFormat="1" ht="12.75">
      <c r="B20" s="494"/>
      <c r="C20" s="495" t="s">
        <v>46</v>
      </c>
      <c r="D20" s="493">
        <v>0.216</v>
      </c>
      <c r="E20" s="493">
        <v>0.196</v>
      </c>
      <c r="F20" s="493">
        <v>0.234</v>
      </c>
      <c r="G20" s="493">
        <v>0.294</v>
      </c>
      <c r="H20" s="175">
        <v>0.24</v>
      </c>
      <c r="I20" s="496"/>
      <c r="J20" s="493">
        <v>0.245</v>
      </c>
      <c r="K20" s="472">
        <v>2.9</v>
      </c>
      <c r="L20" s="496"/>
      <c r="M20" s="493">
        <v>0.258</v>
      </c>
      <c r="N20" s="472">
        <v>6.2</v>
      </c>
      <c r="O20" s="496"/>
      <c r="P20" s="493">
        <v>0.18485655131617865</v>
      </c>
      <c r="Q20" s="472">
        <v>-4.914344868382137</v>
      </c>
      <c r="R20" s="493">
        <v>0.2772992497916088</v>
      </c>
      <c r="S20" s="472">
        <v>-1.670075020839118</v>
      </c>
      <c r="T20" s="175">
        <v>0.24178138870081997</v>
      </c>
      <c r="U20" s="472">
        <v>0.17813887008199802</v>
      </c>
      <c r="V20" s="472"/>
      <c r="W20" s="175">
        <v>0.1982406534715677</v>
      </c>
      <c r="X20" s="472">
        <v>-4.675934652843231</v>
      </c>
      <c r="Y20" s="175">
        <f>+Y19/Y14</f>
        <v>0.2118270079435128</v>
      </c>
      <c r="Z20" s="472">
        <v>-4.61729920564872</v>
      </c>
      <c r="AA20" s="175">
        <f>+AA19/AA14</f>
        <v>0.2474972191323693</v>
      </c>
      <c r="AB20" s="472">
        <f>+(AA20-P20)*100</f>
        <v>6.264066781619065</v>
      </c>
      <c r="AC20" s="497"/>
      <c r="AD20" s="788"/>
      <c r="AE20" s="789"/>
      <c r="AF20" s="1469" t="s">
        <v>382</v>
      </c>
    </row>
    <row r="21" spans="2:32" ht="9" customHeight="1">
      <c r="B21" s="15"/>
      <c r="C21" s="25"/>
      <c r="D21" s="416"/>
      <c r="E21" s="416"/>
      <c r="F21" s="38"/>
      <c r="G21" s="416"/>
      <c r="H21" s="365"/>
      <c r="I21" s="498"/>
      <c r="J21" s="416"/>
      <c r="K21" s="475"/>
      <c r="L21" s="498"/>
      <c r="M21" s="416"/>
      <c r="N21" s="475"/>
      <c r="O21" s="498"/>
      <c r="P21" s="416"/>
      <c r="Q21" s="475"/>
      <c r="R21" s="416"/>
      <c r="S21" s="475"/>
      <c r="T21" s="365"/>
      <c r="U21" s="475"/>
      <c r="V21" s="475"/>
      <c r="W21" s="365"/>
      <c r="X21" s="475"/>
      <c r="Y21" s="365"/>
      <c r="Z21" s="475"/>
      <c r="AA21" s="365"/>
      <c r="AB21" s="475"/>
      <c r="AC21" s="33"/>
      <c r="AD21" s="38"/>
      <c r="AE21" s="140"/>
      <c r="AF21" s="162" t="s">
        <v>312</v>
      </c>
    </row>
    <row r="22" spans="2:32" s="82" customFormat="1" ht="12.75">
      <c r="B22" s="435"/>
      <c r="C22" s="6" t="s">
        <v>165</v>
      </c>
      <c r="D22" s="487">
        <v>501</v>
      </c>
      <c r="E22" s="487">
        <v>477</v>
      </c>
      <c r="F22" s="487">
        <v>676</v>
      </c>
      <c r="G22" s="487">
        <v>953</v>
      </c>
      <c r="H22" s="436">
        <v>2607</v>
      </c>
      <c r="I22" s="488"/>
      <c r="J22" s="487">
        <v>745</v>
      </c>
      <c r="K22" s="489">
        <v>0.4870259481037924</v>
      </c>
      <c r="L22" s="488"/>
      <c r="M22" s="487">
        <v>846</v>
      </c>
      <c r="N22" s="489">
        <v>0.7735849056603774</v>
      </c>
      <c r="O22" s="488"/>
      <c r="P22" s="487">
        <v>625</v>
      </c>
      <c r="Q22" s="489">
        <v>-0.07544378698224852</v>
      </c>
      <c r="R22" s="487">
        <v>998</v>
      </c>
      <c r="S22" s="489">
        <v>0.047219307450157455</v>
      </c>
      <c r="T22" s="436">
        <v>3214</v>
      </c>
      <c r="U22" s="489">
        <v>0.2328346758726505</v>
      </c>
      <c r="V22" s="489"/>
      <c r="W22" s="436">
        <v>631</v>
      </c>
      <c r="X22" s="489">
        <v>-0.15302013422818794</v>
      </c>
      <c r="Y22" s="436">
        <v>720</v>
      </c>
      <c r="Z22" s="489">
        <v>-0.14893617021276595</v>
      </c>
      <c r="AA22" s="436">
        <v>890</v>
      </c>
      <c r="AB22" s="489">
        <f>+AA22/P22-1</f>
        <v>0.42399999999999993</v>
      </c>
      <c r="AC22" s="437"/>
      <c r="AD22" s="140"/>
      <c r="AE22" s="789"/>
      <c r="AF22" s="790"/>
    </row>
    <row r="23" spans="2:32" s="463" customFormat="1" ht="12.75">
      <c r="B23" s="494"/>
      <c r="C23" s="495" t="s">
        <v>46</v>
      </c>
      <c r="D23" s="493">
        <v>0.226</v>
      </c>
      <c r="E23" s="493">
        <v>0.196</v>
      </c>
      <c r="F23" s="493">
        <v>0.229</v>
      </c>
      <c r="G23" s="493">
        <v>0.294</v>
      </c>
      <c r="H23" s="175">
        <v>0.241</v>
      </c>
      <c r="I23" s="496" t="e">
        <v>#DIV/0!</v>
      </c>
      <c r="J23" s="493">
        <v>0.245</v>
      </c>
      <c r="K23" s="472">
        <v>1.9</v>
      </c>
      <c r="L23" s="496"/>
      <c r="M23" s="493">
        <v>0.258</v>
      </c>
      <c r="N23" s="472">
        <v>6.2</v>
      </c>
      <c r="O23" s="496"/>
      <c r="P23" s="493">
        <v>0.185</v>
      </c>
      <c r="Q23" s="472">
        <v>-4.4</v>
      </c>
      <c r="R23" s="493">
        <v>0.2772992497916088</v>
      </c>
      <c r="S23" s="472">
        <v>-1.670075020839118</v>
      </c>
      <c r="T23" s="175">
        <v>0.24178138870081997</v>
      </c>
      <c r="U23" s="472">
        <v>0.07813887008199794</v>
      </c>
      <c r="V23" s="472"/>
      <c r="W23" s="175">
        <v>0.1982406534715677</v>
      </c>
      <c r="X23" s="472">
        <v>-4.675934652843231</v>
      </c>
      <c r="Y23" s="175">
        <v>0.2118270079435128</v>
      </c>
      <c r="Z23" s="472">
        <v>-4.61729920564872</v>
      </c>
      <c r="AA23" s="175">
        <v>0.247</v>
      </c>
      <c r="AB23" s="472">
        <f>+(AA23-P23)*100</f>
        <v>6.2</v>
      </c>
      <c r="AC23" s="497"/>
      <c r="AD23" s="789"/>
      <c r="AE23" s="38"/>
      <c r="AF23" s="38"/>
    </row>
    <row r="24" spans="2:32" ht="5.25" customHeight="1">
      <c r="B24" s="15"/>
      <c r="C24" s="25"/>
      <c r="D24" s="416"/>
      <c r="E24" s="416"/>
      <c r="F24" s="38"/>
      <c r="G24" s="416"/>
      <c r="H24" s="365"/>
      <c r="I24" s="498"/>
      <c r="J24" s="416"/>
      <c r="K24" s="475"/>
      <c r="L24" s="498"/>
      <c r="M24" s="416"/>
      <c r="N24" s="475"/>
      <c r="O24" s="498"/>
      <c r="P24" s="416"/>
      <c r="Q24" s="475"/>
      <c r="R24" s="416"/>
      <c r="S24" s="475"/>
      <c r="T24" s="365"/>
      <c r="U24" s="475"/>
      <c r="V24" s="475"/>
      <c r="W24" s="365"/>
      <c r="X24" s="475"/>
      <c r="Y24" s="365"/>
      <c r="Z24" s="475"/>
      <c r="AA24" s="365"/>
      <c r="AB24" s="475"/>
      <c r="AC24" s="33"/>
      <c r="AD24" s="79"/>
      <c r="AE24" s="38"/>
      <c r="AF24" s="38"/>
    </row>
    <row r="25" spans="2:32" s="82" customFormat="1" ht="12.75">
      <c r="B25" s="435"/>
      <c r="C25" s="6" t="s">
        <v>204</v>
      </c>
      <c r="D25" s="487">
        <v>-94</v>
      </c>
      <c r="E25" s="487">
        <v>-116</v>
      </c>
      <c r="F25" s="487">
        <v>82</v>
      </c>
      <c r="G25" s="487">
        <v>186</v>
      </c>
      <c r="H25" s="436">
        <v>58</v>
      </c>
      <c r="I25" s="488"/>
      <c r="J25" s="487">
        <v>46</v>
      </c>
      <c r="K25" s="489">
        <v>1.4893617021276595</v>
      </c>
      <c r="L25" s="488"/>
      <c r="M25" s="487">
        <v>143</v>
      </c>
      <c r="N25" s="489">
        <v>2.2327586206896552</v>
      </c>
      <c r="O25" s="488"/>
      <c r="P25" s="487">
        <v>-71</v>
      </c>
      <c r="Q25" s="489">
        <v>-1.8658536585365852</v>
      </c>
      <c r="R25" s="487">
        <v>281</v>
      </c>
      <c r="S25" s="489">
        <v>0.510752688172043</v>
      </c>
      <c r="T25" s="436">
        <v>399</v>
      </c>
      <c r="U25" s="489">
        <v>5.879310344827586</v>
      </c>
      <c r="V25" s="489"/>
      <c r="W25" s="436">
        <v>-45</v>
      </c>
      <c r="X25" s="489">
        <v>-1.9782608695652173</v>
      </c>
      <c r="Y25" s="436">
        <v>39</v>
      </c>
      <c r="Z25" s="489">
        <v>-0.7272727272727273</v>
      </c>
      <c r="AA25" s="436">
        <v>189</v>
      </c>
      <c r="AB25" s="489">
        <f>+AA25/P25-1</f>
        <v>-3.6619718309859155</v>
      </c>
      <c r="AC25" s="437"/>
      <c r="AD25" s="787"/>
      <c r="AE25" s="140"/>
      <c r="AF25" s="38"/>
    </row>
    <row r="26" spans="2:32" s="463" customFormat="1" ht="12.75">
      <c r="B26" s="494"/>
      <c r="C26" s="495" t="s">
        <v>48</v>
      </c>
      <c r="D26" s="493">
        <v>-0.042</v>
      </c>
      <c r="E26" s="493">
        <v>-0.048</v>
      </c>
      <c r="F26" s="493">
        <v>0.028</v>
      </c>
      <c r="G26" s="493">
        <v>0.05738969453872261</v>
      </c>
      <c r="H26" s="175">
        <v>0.005</v>
      </c>
      <c r="I26" s="496"/>
      <c r="J26" s="493">
        <v>0.015</v>
      </c>
      <c r="K26" s="472">
        <v>5.7</v>
      </c>
      <c r="L26" s="496"/>
      <c r="M26" s="493">
        <v>0.044</v>
      </c>
      <c r="N26" s="472">
        <v>9.2</v>
      </c>
      <c r="O26" s="496"/>
      <c r="P26" s="493">
        <v>-0.020999704229517895</v>
      </c>
      <c r="Q26" s="472">
        <v>-4.89997042295179</v>
      </c>
      <c r="R26" s="493">
        <v>0.07807724367879966</v>
      </c>
      <c r="S26" s="472">
        <v>2.068754914007705</v>
      </c>
      <c r="T26" s="175">
        <v>0.030015797788309637</v>
      </c>
      <c r="U26" s="472">
        <v>2.5015797788309637</v>
      </c>
      <c r="V26" s="472"/>
      <c r="W26" s="175">
        <v>-0.01413760603204524</v>
      </c>
      <c r="X26" s="472">
        <v>-2.9137606032045236</v>
      </c>
      <c r="Y26" s="175">
        <v>0.01147396293027361</v>
      </c>
      <c r="Z26" s="472" t="s">
        <v>500</v>
      </c>
      <c r="AA26" s="175">
        <f>+AA25/AA14</f>
        <v>0.05255839822024472</v>
      </c>
      <c r="AB26" s="472">
        <f>+(AA26-P26)*100</f>
        <v>7.3558102449762615</v>
      </c>
      <c r="AC26" s="497"/>
      <c r="AD26" s="788"/>
      <c r="AE26" s="789"/>
      <c r="AF26" s="38"/>
    </row>
    <row r="27" spans="2:32" ht="5.25" customHeight="1">
      <c r="B27" s="15"/>
      <c r="C27" s="64"/>
      <c r="D27" s="416"/>
      <c r="E27" s="416"/>
      <c r="F27" s="416"/>
      <c r="G27" s="416"/>
      <c r="H27" s="365"/>
      <c r="I27" s="498"/>
      <c r="J27" s="416"/>
      <c r="K27" s="475"/>
      <c r="L27" s="498"/>
      <c r="M27" s="416"/>
      <c r="N27" s="475"/>
      <c r="O27" s="498"/>
      <c r="P27" s="416"/>
      <c r="Q27" s="475"/>
      <c r="R27" s="416"/>
      <c r="S27" s="475"/>
      <c r="T27" s="365"/>
      <c r="U27" s="475"/>
      <c r="V27" s="475"/>
      <c r="W27" s="365"/>
      <c r="X27" s="475"/>
      <c r="Y27" s="365"/>
      <c r="Z27" s="475"/>
      <c r="AA27" s="365"/>
      <c r="AB27" s="475"/>
      <c r="AC27" s="33"/>
      <c r="AD27" s="38"/>
      <c r="AE27" s="140"/>
      <c r="AF27" s="38"/>
    </row>
    <row r="28" spans="2:32" s="82" customFormat="1" ht="12.75">
      <c r="B28" s="435"/>
      <c r="C28" s="6" t="s">
        <v>166</v>
      </c>
      <c r="D28" s="487">
        <v>-71</v>
      </c>
      <c r="E28" s="487">
        <v>-116</v>
      </c>
      <c r="F28" s="487">
        <v>70</v>
      </c>
      <c r="G28" s="487">
        <v>186</v>
      </c>
      <c r="H28" s="436">
        <v>69</v>
      </c>
      <c r="I28" s="488"/>
      <c r="J28" s="487">
        <v>46</v>
      </c>
      <c r="K28" s="489">
        <v>-1.647887323943662</v>
      </c>
      <c r="L28" s="488"/>
      <c r="M28" s="487">
        <v>143</v>
      </c>
      <c r="N28" s="489">
        <v>-2.2327586206896552</v>
      </c>
      <c r="O28" s="488"/>
      <c r="P28" s="487">
        <v>-71</v>
      </c>
      <c r="Q28" s="489">
        <v>-2.0142857142857142</v>
      </c>
      <c r="R28" s="487">
        <v>281</v>
      </c>
      <c r="S28" s="489">
        <v>0.510752688172043</v>
      </c>
      <c r="T28" s="436">
        <v>399</v>
      </c>
      <c r="U28" s="489">
        <v>4.782608695652174</v>
      </c>
      <c r="V28" s="489"/>
      <c r="W28" s="436">
        <v>-45</v>
      </c>
      <c r="X28" s="489">
        <v>-1.9782608695652173</v>
      </c>
      <c r="Y28" s="436">
        <v>39</v>
      </c>
      <c r="Z28" s="489">
        <v>-0.7272727272727273</v>
      </c>
      <c r="AA28" s="436">
        <f>+AA25</f>
        <v>189</v>
      </c>
      <c r="AB28" s="489">
        <f>+AA28/P28-1</f>
        <v>-3.6619718309859155</v>
      </c>
      <c r="AC28" s="437"/>
      <c r="AD28" s="140"/>
      <c r="AE28" s="789"/>
      <c r="AF28" s="38"/>
    </row>
    <row r="29" spans="2:32" s="463" customFormat="1" ht="12.75">
      <c r="B29" s="494"/>
      <c r="C29" s="495" t="s">
        <v>46</v>
      </c>
      <c r="D29" s="493">
        <v>-0.032</v>
      </c>
      <c r="E29" s="493">
        <v>-0.048</v>
      </c>
      <c r="F29" s="493">
        <v>0.024</v>
      </c>
      <c r="G29" s="493">
        <v>0.057</v>
      </c>
      <c r="H29" s="175">
        <v>0.006</v>
      </c>
      <c r="I29" s="496"/>
      <c r="J29" s="493">
        <v>0.015</v>
      </c>
      <c r="K29" s="472">
        <v>4.7</v>
      </c>
      <c r="L29" s="496"/>
      <c r="M29" s="493">
        <v>0.044</v>
      </c>
      <c r="N29" s="472">
        <v>9.2</v>
      </c>
      <c r="O29" s="496"/>
      <c r="P29" s="493">
        <v>-0.021</v>
      </c>
      <c r="Q29" s="472">
        <v>-4.5</v>
      </c>
      <c r="R29" s="493">
        <v>0.07807724367879966</v>
      </c>
      <c r="S29" s="472">
        <v>2.1077243678799658</v>
      </c>
      <c r="T29" s="175">
        <v>0.030015797788309637</v>
      </c>
      <c r="U29" s="472">
        <v>2.4015797788309636</v>
      </c>
      <c r="V29" s="472"/>
      <c r="W29" s="175">
        <v>-0.01413760603204524</v>
      </c>
      <c r="X29" s="472">
        <v>-2.9137606032045236</v>
      </c>
      <c r="Y29" s="175">
        <v>0.01147396293027361</v>
      </c>
      <c r="Z29" s="472">
        <v>-3.2526037069726383</v>
      </c>
      <c r="AA29" s="175">
        <f>+AA28/AA14</f>
        <v>0.05255839822024472</v>
      </c>
      <c r="AB29" s="472">
        <f>+(AA29-P29)*100</f>
        <v>7.355839822024472</v>
      </c>
      <c r="AC29" s="497"/>
      <c r="AD29" s="789"/>
      <c r="AE29" s="38"/>
      <c r="AF29" s="38"/>
    </row>
    <row r="30" spans="2:32" ht="5.25" customHeight="1">
      <c r="B30" s="15"/>
      <c r="C30" s="64"/>
      <c r="D30" s="416"/>
      <c r="E30" s="416"/>
      <c r="F30" s="416"/>
      <c r="G30" s="416"/>
      <c r="H30" s="365"/>
      <c r="I30" s="498"/>
      <c r="J30" s="416"/>
      <c r="K30" s="475"/>
      <c r="L30" s="498"/>
      <c r="M30" s="416"/>
      <c r="N30" s="475"/>
      <c r="O30" s="498"/>
      <c r="P30" s="416"/>
      <c r="Q30" s="475"/>
      <c r="R30" s="416"/>
      <c r="S30" s="475"/>
      <c r="T30" s="365"/>
      <c r="U30" s="475"/>
      <c r="V30" s="475"/>
      <c r="W30" s="365"/>
      <c r="X30" s="475"/>
      <c r="Y30" s="365"/>
      <c r="Z30" s="475"/>
      <c r="AA30" s="365"/>
      <c r="AB30" s="475"/>
      <c r="AC30" s="33"/>
      <c r="AD30" s="79"/>
      <c r="AE30" s="38"/>
      <c r="AF30" s="38"/>
    </row>
    <row r="31" spans="2:32" s="82" customFormat="1" ht="12.75">
      <c r="B31" s="435"/>
      <c r="C31" s="6" t="s">
        <v>13</v>
      </c>
      <c r="D31" s="487">
        <v>166</v>
      </c>
      <c r="E31" s="487">
        <v>354</v>
      </c>
      <c r="F31" s="487">
        <v>375</v>
      </c>
      <c r="G31" s="487">
        <v>1015</v>
      </c>
      <c r="H31" s="436">
        <v>1910</v>
      </c>
      <c r="I31" s="488"/>
      <c r="J31" s="487">
        <v>321</v>
      </c>
      <c r="K31" s="489">
        <v>0.9337349397590362</v>
      </c>
      <c r="L31" s="488"/>
      <c r="M31" s="487">
        <v>416</v>
      </c>
      <c r="N31" s="489">
        <v>0.17514124293785316</v>
      </c>
      <c r="O31" s="488"/>
      <c r="P31" s="487">
        <v>453</v>
      </c>
      <c r="Q31" s="489">
        <v>0.20799999999999996</v>
      </c>
      <c r="R31" s="487">
        <v>1115</v>
      </c>
      <c r="S31" s="489">
        <v>0.09852216748768483</v>
      </c>
      <c r="T31" s="436">
        <v>2305</v>
      </c>
      <c r="U31" s="489">
        <v>0.206806282722513</v>
      </c>
      <c r="V31" s="489"/>
      <c r="W31" s="436">
        <v>361</v>
      </c>
      <c r="X31" s="489">
        <v>0.12461059190031154</v>
      </c>
      <c r="Y31" s="436">
        <v>1777</v>
      </c>
      <c r="Z31" s="489">
        <v>3.271634615384615</v>
      </c>
      <c r="AA31" s="436">
        <v>611</v>
      </c>
      <c r="AB31" s="489">
        <f>+AA31/P31-1</f>
        <v>0.3487858719646799</v>
      </c>
      <c r="AC31" s="437"/>
      <c r="AD31" s="787"/>
      <c r="AE31" s="140"/>
      <c r="AF31" s="38"/>
    </row>
    <row r="32" spans="2:32" ht="12.75">
      <c r="B32" s="15"/>
      <c r="C32" s="64" t="s">
        <v>1</v>
      </c>
      <c r="D32" s="493">
        <v>0.075</v>
      </c>
      <c r="E32" s="499">
        <v>0.146</v>
      </c>
      <c r="F32" s="493">
        <v>0.127</v>
      </c>
      <c r="G32" s="493">
        <v>0.313</v>
      </c>
      <c r="H32" s="175">
        <v>0.176</v>
      </c>
      <c r="I32" s="496" t="e">
        <v>#DIV/0!</v>
      </c>
      <c r="J32" s="493">
        <v>0.106</v>
      </c>
      <c r="K32" s="472">
        <v>3.1</v>
      </c>
      <c r="L32" s="496"/>
      <c r="M32" s="493">
        <v>0.127</v>
      </c>
      <c r="N32" s="472">
        <v>-1.9</v>
      </c>
      <c r="O32" s="496"/>
      <c r="P32" s="493">
        <v>0.13398402839396628</v>
      </c>
      <c r="Q32" s="472">
        <v>0.698402839396628</v>
      </c>
      <c r="R32" s="493">
        <v>0.30980828007779937</v>
      </c>
      <c r="S32" s="472">
        <v>-0.3191719922200631</v>
      </c>
      <c r="T32" s="175">
        <v>0.17339953358910704</v>
      </c>
      <c r="U32" s="472">
        <v>-0.2600466410892954</v>
      </c>
      <c r="V32" s="472"/>
      <c r="W32" s="175">
        <v>0.11341501727929626</v>
      </c>
      <c r="X32" s="472">
        <v>0.7415017279296263</v>
      </c>
      <c r="Y32" s="175">
        <v>0.5228008237716976</v>
      </c>
      <c r="Z32" s="472">
        <v>39.58008237716976</v>
      </c>
      <c r="AA32" s="175">
        <f>+AA31/AA14</f>
        <v>0.1699110122358176</v>
      </c>
      <c r="AB32" s="472">
        <f>+(AA32-P32)*100</f>
        <v>3.5926983841851308</v>
      </c>
      <c r="AC32" s="33"/>
      <c r="AD32" s="79"/>
      <c r="AE32" s="38"/>
      <c r="AF32" s="38"/>
    </row>
    <row r="33" spans="2:32" ht="6.75" customHeight="1">
      <c r="B33" s="15"/>
      <c r="C33" s="28"/>
      <c r="D33" s="79"/>
      <c r="E33" s="79"/>
      <c r="F33" s="79"/>
      <c r="G33" s="79"/>
      <c r="H33" s="148"/>
      <c r="I33" s="152"/>
      <c r="J33" s="79"/>
      <c r="K33" s="475"/>
      <c r="L33" s="152"/>
      <c r="M33" s="79"/>
      <c r="N33" s="475"/>
      <c r="O33" s="152"/>
      <c r="P33" s="79"/>
      <c r="Q33" s="475"/>
      <c r="R33" s="79"/>
      <c r="S33" s="475"/>
      <c r="T33" s="148"/>
      <c r="U33" s="475"/>
      <c r="V33" s="475"/>
      <c r="W33" s="148"/>
      <c r="X33" s="475"/>
      <c r="Y33" s="148"/>
      <c r="Z33" s="475"/>
      <c r="AA33" s="148"/>
      <c r="AB33" s="475"/>
      <c r="AC33" s="33"/>
      <c r="AD33" s="79"/>
      <c r="AE33" s="38"/>
      <c r="AF33" s="38"/>
    </row>
    <row r="34" spans="2:32" ht="6.75" customHeight="1">
      <c r="B34" s="15"/>
      <c r="C34" s="28"/>
      <c r="D34" s="79"/>
      <c r="E34" s="79"/>
      <c r="F34" s="79"/>
      <c r="G34" s="79"/>
      <c r="H34" s="148"/>
      <c r="I34" s="152"/>
      <c r="J34" s="79"/>
      <c r="K34" s="475"/>
      <c r="L34" s="152"/>
      <c r="M34" s="79"/>
      <c r="N34" s="475"/>
      <c r="O34" s="152"/>
      <c r="P34" s="79"/>
      <c r="Q34" s="475"/>
      <c r="R34" s="79"/>
      <c r="S34" s="475"/>
      <c r="T34" s="148"/>
      <c r="U34" s="475"/>
      <c r="V34" s="475"/>
      <c r="W34" s="148"/>
      <c r="X34" s="475"/>
      <c r="Y34" s="148"/>
      <c r="Z34" s="475"/>
      <c r="AA34" s="148"/>
      <c r="AB34" s="475"/>
      <c r="AC34" s="33"/>
      <c r="AD34" s="79"/>
      <c r="AE34" s="38"/>
      <c r="AF34" s="38"/>
    </row>
    <row r="35" spans="2:31" ht="12.75">
      <c r="B35" s="15"/>
      <c r="C35" s="28"/>
      <c r="D35" s="18" t="s">
        <v>2</v>
      </c>
      <c r="E35" s="18" t="s">
        <v>86</v>
      </c>
      <c r="F35" s="18" t="s">
        <v>87</v>
      </c>
      <c r="G35" s="18" t="s">
        <v>88</v>
      </c>
      <c r="H35" s="18" t="s">
        <v>88</v>
      </c>
      <c r="I35" s="466"/>
      <c r="J35" s="17" t="s">
        <v>6</v>
      </c>
      <c r="K35" s="467"/>
      <c r="L35" s="466"/>
      <c r="M35" s="17" t="s">
        <v>148</v>
      </c>
      <c r="N35" s="467"/>
      <c r="O35" s="466"/>
      <c r="P35" s="17" t="s">
        <v>149</v>
      </c>
      <c r="Q35" s="467"/>
      <c r="R35" s="17" t="s">
        <v>226</v>
      </c>
      <c r="S35" s="467"/>
      <c r="T35" s="17" t="s">
        <v>226</v>
      </c>
      <c r="U35" s="467"/>
      <c r="V35" s="467"/>
      <c r="W35" s="18" t="s">
        <v>339</v>
      </c>
      <c r="X35" s="467"/>
      <c r="Y35" s="18" t="s">
        <v>434</v>
      </c>
      <c r="Z35" s="467"/>
      <c r="AA35" s="18" t="s">
        <v>536</v>
      </c>
      <c r="AB35" s="467"/>
      <c r="AC35" s="33"/>
      <c r="AD35" s="79"/>
      <c r="AE35" s="38"/>
    </row>
    <row r="36" spans="2:32" s="82" customFormat="1" ht="12.75">
      <c r="B36" s="435"/>
      <c r="C36" s="27" t="s">
        <v>153</v>
      </c>
      <c r="D36" s="500">
        <v>2.6425874101850604</v>
      </c>
      <c r="E36" s="500">
        <v>2.696282635130945</v>
      </c>
      <c r="F36" s="500">
        <v>2.719993036817826</v>
      </c>
      <c r="G36" s="500">
        <v>2.733412966764432</v>
      </c>
      <c r="H36" s="501">
        <v>2.73341296676443</v>
      </c>
      <c r="I36" s="502"/>
      <c r="J36" s="500">
        <v>2.7634233288197416</v>
      </c>
      <c r="K36" s="503"/>
      <c r="L36" s="502"/>
      <c r="M36" s="500">
        <v>2.718942875010196</v>
      </c>
      <c r="N36" s="503"/>
      <c r="O36" s="502"/>
      <c r="P36" s="500">
        <v>2.6905199999999985</v>
      </c>
      <c r="Q36" s="489"/>
      <c r="R36" s="501">
        <v>2.6639671799243434</v>
      </c>
      <c r="S36" s="489"/>
      <c r="T36" s="501">
        <v>2.6639671799243434</v>
      </c>
      <c r="U36" s="489"/>
      <c r="V36" s="489"/>
      <c r="W36" s="501">
        <v>2.6014568158168574</v>
      </c>
      <c r="X36" s="489"/>
      <c r="Y36" s="501">
        <v>2.5948</v>
      </c>
      <c r="Z36" s="489"/>
      <c r="AA36" s="501">
        <v>2.5618</v>
      </c>
      <c r="AB36" s="489"/>
      <c r="AC36" s="437"/>
      <c r="AD36" s="787"/>
      <c r="AE36" s="140"/>
      <c r="AF36" s="3"/>
    </row>
    <row r="37" spans="2:31" ht="12.75">
      <c r="B37" s="15"/>
      <c r="C37" s="28"/>
      <c r="D37" s="79"/>
      <c r="E37" s="79"/>
      <c r="F37" s="79"/>
      <c r="G37" s="79"/>
      <c r="H37" s="79"/>
      <c r="I37" s="152"/>
      <c r="J37" s="79"/>
      <c r="K37" s="504"/>
      <c r="L37" s="152"/>
      <c r="M37" s="79"/>
      <c r="N37" s="504"/>
      <c r="O37" s="152"/>
      <c r="P37" s="79"/>
      <c r="Q37" s="504"/>
      <c r="R37" s="79"/>
      <c r="S37" s="504"/>
      <c r="T37" s="504"/>
      <c r="U37" s="504"/>
      <c r="V37" s="504"/>
      <c r="W37" s="504"/>
      <c r="X37" s="504"/>
      <c r="Y37" s="504"/>
      <c r="Z37" s="504"/>
      <c r="AA37" s="504"/>
      <c r="AB37" s="504"/>
      <c r="AC37" s="33"/>
      <c r="AD37" s="79"/>
      <c r="AE37" s="38"/>
    </row>
    <row r="38" spans="2:31" ht="12.75">
      <c r="B38" s="15"/>
      <c r="C38" s="1241" t="s">
        <v>379</v>
      </c>
      <c r="D38" s="311"/>
      <c r="E38" s="311"/>
      <c r="F38" s="311"/>
      <c r="G38" s="311"/>
      <c r="H38" s="311"/>
      <c r="I38" s="505"/>
      <c r="J38" s="311"/>
      <c r="K38" s="475"/>
      <c r="L38" s="505"/>
      <c r="M38" s="311"/>
      <c r="N38" s="475"/>
      <c r="O38" s="505"/>
      <c r="P38" s="311"/>
      <c r="Q38" s="475"/>
      <c r="R38" s="311"/>
      <c r="S38" s="475"/>
      <c r="T38" s="475"/>
      <c r="U38" s="475"/>
      <c r="V38" s="475"/>
      <c r="W38" s="475"/>
      <c r="X38" s="475"/>
      <c r="Y38" s="475"/>
      <c r="Z38" s="475"/>
      <c r="AA38" s="475"/>
      <c r="AB38" s="475"/>
      <c r="AC38" s="33"/>
      <c r="AD38" s="79"/>
      <c r="AE38" s="38"/>
    </row>
    <row r="39" spans="2:31" ht="9.75" customHeight="1">
      <c r="B39" s="135"/>
      <c r="C39" s="61"/>
      <c r="D39" s="61"/>
      <c r="E39" s="61"/>
      <c r="F39" s="61"/>
      <c r="G39" s="61"/>
      <c r="H39" s="61"/>
      <c r="I39" s="166"/>
      <c r="J39" s="61"/>
      <c r="K39" s="504"/>
      <c r="L39" s="166"/>
      <c r="M39" s="61"/>
      <c r="N39" s="504"/>
      <c r="O39" s="166"/>
      <c r="P39" s="61"/>
      <c r="Q39" s="504"/>
      <c r="R39" s="61"/>
      <c r="S39" s="504"/>
      <c r="T39" s="61"/>
      <c r="U39" s="504"/>
      <c r="V39" s="504"/>
      <c r="W39" s="61"/>
      <c r="X39" s="504"/>
      <c r="Y39" s="504"/>
      <c r="Z39" s="504"/>
      <c r="AA39" s="504"/>
      <c r="AB39" s="504"/>
      <c r="AC39" s="136"/>
      <c r="AD39" s="79"/>
      <c r="AE39" s="38"/>
    </row>
    <row r="42" ht="12.75">
      <c r="F42" s="460"/>
    </row>
    <row r="43" ht="12.75">
      <c r="F43" s="463"/>
    </row>
    <row r="45" ht="12.75">
      <c r="C45" s="1404"/>
    </row>
  </sheetData>
  <sheetProtection password="DAD6" sheet="1" formatCells="0" formatColumns="0" formatRows="0" insertColumns="0" insertRows="0" insertHyperlinks="0" deleteColumns="0" deleteRows="0" sort="0" autoFilter="0" pivotTables="0"/>
  <hyperlinks>
    <hyperlink ref="AF11" location="'Domestic Business Results'!A1" display="Domestic Business Results"/>
    <hyperlink ref="AF12" location="'Domestic Wireline Results'!A1" display="Domestic Wireline Results"/>
    <hyperlink ref="AF13" location="'Domestic Mobile Results'!A1" display="Domestic Mobile Results"/>
    <hyperlink ref="AF14" location="'European BroadBand'!A1" display="European BroadBand"/>
    <hyperlink ref="AF18" location="'Main Group''s Subsidiries'!A1" display="Main Group's Subsidiaries"/>
    <hyperlink ref="AF7" location="'Key fin data by BU YTD'!A1" display="Key Financial data by BU YTD"/>
    <hyperlink ref="AF19" location="'Analyst Tools'!A1" display="Analyst Tools"/>
    <hyperlink ref="AF20" location="'Historic Data'!A1" display="Historic Data"/>
    <hyperlink ref="AF6" location="'P&amp;L Group by quarter'!A1" display="P&amp;L Group by quarter"/>
    <hyperlink ref="AF8" location="'Key fin. data by BU by quarter'!A1" display="Key Financial data by quarter"/>
    <hyperlink ref="AF5" location="'P&amp;L Group YTD'!A1" display="P&amp;L Group YTD"/>
    <hyperlink ref="AF9" location="'Balance Sheet'!A1" display="Balance Sheet"/>
    <hyperlink ref="AF10" location="'Cashflow Statement'!A1" display="Cashflow Statement"/>
    <hyperlink ref="AF15" location="'1Q Rep&amp;org.'!A1" display="Repoerted &amp; Organic figures"/>
    <hyperlink ref="AF16" location="'2Q Rep&amp;org.'!A1" display="Reported &amp; Organic figures 2Q08 vs 2Q07"/>
    <hyperlink ref="AF17" location="'3Q Rep&amp;org.'!A1" display="Reported &amp; Organic figures 3Q08 vs 3Q07"/>
    <hyperlink ref="AF21" location="Cover!A1" display="Cover"/>
  </hyperlinks>
  <printOptions horizontalCentered="1" verticalCentered="1"/>
  <pageMargins left="0" right="0" top="0" bottom="0" header="0.5118110236220472" footer="0.31496062992125984"/>
  <pageSetup horizontalDpi="600" verticalDpi="600" orientation="landscape" paperSize="9" scale="74" r:id="rId3"/>
  <colBreaks count="1" manualBreakCount="1">
    <brk id="28" min="1" max="38" man="1"/>
  </colBreaks>
  <drawing r:id="rId1"/>
  <legacyDrawingHF r:id="rId2"/>
</worksheet>
</file>

<file path=xl/worksheets/sheet12.xml><?xml version="1.0" encoding="utf-8"?>
<worksheet xmlns="http://schemas.openxmlformats.org/spreadsheetml/2006/main" xmlns:r="http://schemas.openxmlformats.org/officeDocument/2006/relationships">
  <sheetPr codeName="Foglio21"/>
  <dimension ref="B1:Z65"/>
  <sheetViews>
    <sheetView showGridLines="0" zoomScaleSheetLayoutView="100" workbookViewId="0" topLeftCell="A1">
      <selection activeCell="C2" sqref="C2"/>
    </sheetView>
  </sheetViews>
  <sheetFormatPr defaultColWidth="9.140625" defaultRowHeight="12.75"/>
  <cols>
    <col min="1" max="1" width="0.9921875" style="3" customWidth="1"/>
    <col min="2" max="2" width="2.7109375" style="3" customWidth="1"/>
    <col min="3" max="3" width="26.8515625" style="3" bestFit="1" customWidth="1"/>
    <col min="4" max="4" width="1.28515625" style="506" customWidth="1"/>
    <col min="5" max="5" width="5.8515625" style="71" customWidth="1"/>
    <col min="6" max="6" width="8.7109375" style="506" customWidth="1"/>
    <col min="7" max="7" width="0.85546875" style="71" customWidth="1"/>
    <col min="8" max="8" width="6.8515625" style="71" customWidth="1"/>
    <col min="9" max="9" width="8.7109375" style="506" customWidth="1"/>
    <col min="10" max="10" width="0.85546875" style="71" customWidth="1"/>
    <col min="11" max="11" width="6.8515625" style="71" customWidth="1"/>
    <col min="12" max="12" width="8.7109375" style="506" customWidth="1"/>
    <col min="13" max="13" width="6.8515625" style="71" customWidth="1"/>
    <col min="14" max="14" width="8.7109375" style="506" customWidth="1"/>
    <col min="15" max="15" width="6.8515625" style="71" customWidth="1"/>
    <col min="16" max="16" width="8.7109375" style="506" customWidth="1"/>
    <col min="17" max="17" width="1.28515625" style="506" customWidth="1"/>
    <col min="18" max="18" width="6.8515625" style="71" customWidth="1"/>
    <col min="19" max="19" width="8.8515625" style="506" customWidth="1"/>
    <col min="20" max="20" width="6.00390625" style="506" customWidth="1"/>
    <col min="21" max="21" width="8.57421875" style="3" customWidth="1"/>
    <col min="22" max="22" width="7.00390625" style="506" bestFit="1" customWidth="1"/>
    <col min="23" max="23" width="8.7109375" style="3" bestFit="1" customWidth="1"/>
    <col min="24" max="25" width="1.421875" style="1" customWidth="1"/>
    <col min="26" max="26" width="29.8515625" style="464" customWidth="1"/>
    <col min="27" max="16384" width="9.140625" style="3" customWidth="1"/>
  </cols>
  <sheetData>
    <row r="1" ht="12.75">
      <c r="Z1" s="72"/>
    </row>
    <row r="2" spans="2:26" ht="21" customHeight="1">
      <c r="B2" s="1413"/>
      <c r="C2" s="143"/>
      <c r="D2" s="1433"/>
      <c r="E2" s="1432"/>
      <c r="F2" s="1433"/>
      <c r="G2" s="1432"/>
      <c r="H2" s="1432"/>
      <c r="I2" s="1433"/>
      <c r="J2" s="1432"/>
      <c r="K2" s="1432"/>
      <c r="L2" s="1433"/>
      <c r="M2" s="1432"/>
      <c r="N2" s="1433"/>
      <c r="O2" s="1432"/>
      <c r="P2" s="1433"/>
      <c r="Q2" s="1433"/>
      <c r="R2" s="1432"/>
      <c r="S2" s="1433"/>
      <c r="T2" s="1433"/>
      <c r="U2" s="143"/>
      <c r="V2" s="1433"/>
      <c r="W2" s="143"/>
      <c r="X2" s="1436"/>
      <c r="Z2" s="1244"/>
    </row>
    <row r="3" spans="2:26" ht="19.5" customHeight="1">
      <c r="B3" s="134"/>
      <c r="C3" s="79"/>
      <c r="D3" s="516"/>
      <c r="E3" s="429"/>
      <c r="F3" s="516"/>
      <c r="G3" s="429"/>
      <c r="H3" s="429"/>
      <c r="I3" s="516"/>
      <c r="J3" s="429"/>
      <c r="K3" s="429"/>
      <c r="L3" s="516"/>
      <c r="M3" s="429"/>
      <c r="N3" s="516"/>
      <c r="O3" s="429"/>
      <c r="P3" s="516"/>
      <c r="Q3" s="516"/>
      <c r="R3" s="429"/>
      <c r="S3" s="516"/>
      <c r="T3" s="516"/>
      <c r="U3" s="79"/>
      <c r="V3" s="516"/>
      <c r="W3" s="79"/>
      <c r="X3" s="1436"/>
      <c r="Z3" s="1347"/>
    </row>
    <row r="4" spans="2:26" ht="18.75" customHeight="1">
      <c r="B4" s="962"/>
      <c r="C4" s="151"/>
      <c r="D4" s="151"/>
      <c r="E4" s="1506"/>
      <c r="F4" s="1506"/>
      <c r="G4" s="1506"/>
      <c r="H4" s="1506"/>
      <c r="I4" s="1506"/>
      <c r="J4" s="1506"/>
      <c r="K4" s="1506"/>
      <c r="L4" s="1506"/>
      <c r="M4" s="1506"/>
      <c r="N4" s="1506"/>
      <c r="O4" s="1506"/>
      <c r="P4" s="1506"/>
      <c r="Q4" s="1506"/>
      <c r="R4" s="1506"/>
      <c r="S4" s="1506"/>
      <c r="T4" s="1506"/>
      <c r="U4" s="1506"/>
      <c r="V4" s="115"/>
      <c r="W4" s="115"/>
      <c r="X4" s="186"/>
      <c r="Y4" s="151"/>
      <c r="Z4" s="30" t="s">
        <v>59</v>
      </c>
    </row>
    <row r="5" spans="2:26" ht="12.75">
      <c r="B5" s="15"/>
      <c r="C5" s="79"/>
      <c r="D5" s="1187"/>
      <c r="E5" s="20" t="s">
        <v>6</v>
      </c>
      <c r="F5" s="1187" t="s">
        <v>134</v>
      </c>
      <c r="G5" s="404"/>
      <c r="H5" s="20" t="s">
        <v>142</v>
      </c>
      <c r="I5" s="1187" t="s">
        <v>134</v>
      </c>
      <c r="J5" s="404"/>
      <c r="K5" s="20" t="s">
        <v>143</v>
      </c>
      <c r="L5" s="1187" t="s">
        <v>134</v>
      </c>
      <c r="M5" s="20" t="s">
        <v>228</v>
      </c>
      <c r="N5" s="1187" t="s">
        <v>134</v>
      </c>
      <c r="O5" s="20" t="s">
        <v>226</v>
      </c>
      <c r="P5" s="1187" t="s">
        <v>134</v>
      </c>
      <c r="Q5" s="1187"/>
      <c r="R5" s="53" t="s">
        <v>339</v>
      </c>
      <c r="S5" s="1206" t="s">
        <v>365</v>
      </c>
      <c r="T5" s="53" t="s">
        <v>435</v>
      </c>
      <c r="U5" s="1206" t="s">
        <v>365</v>
      </c>
      <c r="V5" s="53" t="s">
        <v>537</v>
      </c>
      <c r="W5" s="1206" t="s">
        <v>365</v>
      </c>
      <c r="X5" s="1436"/>
      <c r="Z5" s="31" t="s">
        <v>56</v>
      </c>
    </row>
    <row r="6" spans="2:26" ht="12.75">
      <c r="B6" s="15"/>
      <c r="C6" s="62" t="s">
        <v>14</v>
      </c>
      <c r="D6" s="469"/>
      <c r="E6" s="316"/>
      <c r="F6" s="469"/>
      <c r="G6" s="404"/>
      <c r="H6" s="316"/>
      <c r="I6" s="469"/>
      <c r="J6" s="404"/>
      <c r="K6" s="316"/>
      <c r="L6" s="469"/>
      <c r="M6" s="316"/>
      <c r="N6" s="469"/>
      <c r="O6" s="316"/>
      <c r="P6" s="469"/>
      <c r="Q6" s="469"/>
      <c r="R6" s="316"/>
      <c r="S6" s="469"/>
      <c r="T6" s="316"/>
      <c r="U6" s="469"/>
      <c r="V6" s="316"/>
      <c r="W6" s="469"/>
      <c r="X6" s="1436"/>
      <c r="Z6" s="139" t="s">
        <v>206</v>
      </c>
    </row>
    <row r="7" spans="2:26" ht="12.75">
      <c r="B7" s="15"/>
      <c r="C7" s="64"/>
      <c r="D7" s="514"/>
      <c r="E7" s="513"/>
      <c r="F7" s="514"/>
      <c r="G7" s="515"/>
      <c r="H7" s="513"/>
      <c r="I7" s="514"/>
      <c r="J7" s="515"/>
      <c r="K7" s="513"/>
      <c r="L7" s="514"/>
      <c r="M7" s="513"/>
      <c r="N7" s="514"/>
      <c r="O7" s="513"/>
      <c r="P7" s="514"/>
      <c r="Q7" s="514"/>
      <c r="R7" s="513"/>
      <c r="S7" s="514"/>
      <c r="T7" s="513"/>
      <c r="U7" s="514"/>
      <c r="V7" s="513"/>
      <c r="W7" s="514"/>
      <c r="X7" s="1436"/>
      <c r="Z7" s="139" t="s">
        <v>208</v>
      </c>
    </row>
    <row r="8" spans="2:26" ht="12.75">
      <c r="B8" s="15"/>
      <c r="C8" s="27" t="s">
        <v>539</v>
      </c>
      <c r="D8" s="512"/>
      <c r="E8" s="511"/>
      <c r="F8" s="512"/>
      <c r="G8" s="511"/>
      <c r="H8" s="511"/>
      <c r="I8" s="512"/>
      <c r="J8" s="511"/>
      <c r="K8" s="511"/>
      <c r="L8" s="512"/>
      <c r="M8" s="511"/>
      <c r="N8" s="512"/>
      <c r="O8" s="511"/>
      <c r="P8" s="512"/>
      <c r="Q8" s="512"/>
      <c r="R8" s="511"/>
      <c r="S8" s="512"/>
      <c r="T8" s="511"/>
      <c r="U8" s="512"/>
      <c r="V8" s="511"/>
      <c r="W8" s="512"/>
      <c r="X8" s="1436"/>
      <c r="Z8" s="139" t="s">
        <v>207</v>
      </c>
    </row>
    <row r="9" spans="2:26" ht="12.75">
      <c r="B9" s="15"/>
      <c r="C9" s="37" t="s">
        <v>162</v>
      </c>
      <c r="D9" s="493"/>
      <c r="E9" s="490">
        <v>3289</v>
      </c>
      <c r="F9" s="493">
        <v>1.2816976127320956</v>
      </c>
      <c r="G9" s="416"/>
      <c r="H9" s="490">
        <v>3276</v>
      </c>
      <c r="I9" s="493">
        <v>1.17234262125903</v>
      </c>
      <c r="J9" s="416"/>
      <c r="K9" s="490">
        <v>3235</v>
      </c>
      <c r="L9" s="493">
        <v>1.1226415094339623</v>
      </c>
      <c r="M9" s="490">
        <v>3229</v>
      </c>
      <c r="N9" s="493">
        <v>1.839929639401935</v>
      </c>
      <c r="O9" s="490">
        <v>3229</v>
      </c>
      <c r="P9" s="493">
        <v>1.839929639401935</v>
      </c>
      <c r="Q9" s="493"/>
      <c r="R9" s="490">
        <v>3172</v>
      </c>
      <c r="S9" s="493">
        <v>-0.035</v>
      </c>
      <c r="T9" s="490">
        <v>3079</v>
      </c>
      <c r="U9" s="493">
        <v>-0.06013431013431014</v>
      </c>
      <c r="V9" s="490">
        <v>3020</v>
      </c>
      <c r="W9" s="493">
        <f>+V9/K9-1</f>
        <v>-0.06646058732612059</v>
      </c>
      <c r="X9" s="1436"/>
      <c r="Z9" s="139" t="s">
        <v>223</v>
      </c>
    </row>
    <row r="10" spans="2:26" ht="12.75">
      <c r="B10" s="473"/>
      <c r="C10" s="37" t="s">
        <v>163</v>
      </c>
      <c r="D10" s="493"/>
      <c r="E10" s="490">
        <v>2303</v>
      </c>
      <c r="F10" s="493">
        <v>1.1162474507138</v>
      </c>
      <c r="G10" s="416"/>
      <c r="H10" s="490">
        <v>2352</v>
      </c>
      <c r="I10" s="493">
        <v>1.0043859649122808</v>
      </c>
      <c r="J10" s="416"/>
      <c r="K10" s="490">
        <v>2424</v>
      </c>
      <c r="L10" s="493">
        <v>0.9243306169965075</v>
      </c>
      <c r="M10" s="490">
        <v>2537</v>
      </c>
      <c r="N10" s="493">
        <v>1.275336322869955</v>
      </c>
      <c r="O10" s="490">
        <v>2537</v>
      </c>
      <c r="P10" s="493">
        <v>1.275336322869955</v>
      </c>
      <c r="Q10" s="493"/>
      <c r="R10" s="490">
        <v>2558</v>
      </c>
      <c r="S10" s="493">
        <v>0.11072514112027787</v>
      </c>
      <c r="T10" s="490">
        <v>2522</v>
      </c>
      <c r="U10" s="493">
        <v>0.07227891156462585</v>
      </c>
      <c r="V10" s="490">
        <v>2501</v>
      </c>
      <c r="W10" s="493">
        <f>+V10/K10-1</f>
        <v>0.03176567656765683</v>
      </c>
      <c r="X10" s="1436"/>
      <c r="Z10" s="139" t="s">
        <v>310</v>
      </c>
    </row>
    <row r="11" spans="2:26" ht="12.75">
      <c r="B11" s="15"/>
      <c r="C11" s="64"/>
      <c r="D11" s="514"/>
      <c r="E11" s="513"/>
      <c r="F11" s="514"/>
      <c r="G11" s="515"/>
      <c r="H11" s="513"/>
      <c r="I11" s="514"/>
      <c r="J11" s="515"/>
      <c r="K11" s="513"/>
      <c r="L11" s="514"/>
      <c r="M11" s="513"/>
      <c r="N11" s="514"/>
      <c r="O11" s="513"/>
      <c r="P11" s="514"/>
      <c r="Q11" s="514"/>
      <c r="R11" s="513"/>
      <c r="S11" s="514"/>
      <c r="T11" s="513"/>
      <c r="U11" s="514"/>
      <c r="V11" s="513"/>
      <c r="W11" s="514"/>
      <c r="X11" s="1436"/>
      <c r="Z11" s="139" t="s">
        <v>311</v>
      </c>
    </row>
    <row r="12" spans="2:26" ht="12.75">
      <c r="B12" s="15"/>
      <c r="C12" s="27" t="s">
        <v>380</v>
      </c>
      <c r="D12" s="512"/>
      <c r="E12" s="511"/>
      <c r="F12" s="512"/>
      <c r="G12" s="511"/>
      <c r="H12" s="511"/>
      <c r="I12" s="512"/>
      <c r="J12" s="511"/>
      <c r="K12" s="511"/>
      <c r="L12" s="512"/>
      <c r="M12" s="511"/>
      <c r="N12" s="512"/>
      <c r="O12" s="511"/>
      <c r="P12" s="512"/>
      <c r="Q12" s="512"/>
      <c r="R12" s="511"/>
      <c r="S12" s="512"/>
      <c r="T12" s="511"/>
      <c r="U12" s="512"/>
      <c r="V12" s="511"/>
      <c r="W12" s="512"/>
      <c r="X12" s="1436"/>
      <c r="Z12" s="139" t="s">
        <v>12</v>
      </c>
    </row>
    <row r="13" spans="2:26" ht="12.75">
      <c r="B13" s="15"/>
      <c r="C13" s="37" t="s">
        <v>162</v>
      </c>
      <c r="D13" s="493"/>
      <c r="E13" s="490">
        <v>3104</v>
      </c>
      <c r="F13" s="493">
        <v>3.538011695906433</v>
      </c>
      <c r="G13" s="416"/>
      <c r="H13" s="438">
        <v>3105</v>
      </c>
      <c r="I13" s="175">
        <v>3.032</v>
      </c>
      <c r="J13" s="416"/>
      <c r="K13" s="490">
        <v>3055</v>
      </c>
      <c r="L13" s="493">
        <v>2.6412395709177594</v>
      </c>
      <c r="M13" s="490">
        <v>3040</v>
      </c>
      <c r="N13" s="493">
        <v>2.196635120925342</v>
      </c>
      <c r="O13" s="490">
        <v>3040</v>
      </c>
      <c r="P13" s="493">
        <v>2.196635120925342</v>
      </c>
      <c r="Q13" s="493"/>
      <c r="R13" s="490">
        <v>2986</v>
      </c>
      <c r="S13" s="493">
        <v>-0.03801546391752575</v>
      </c>
      <c r="T13" s="490">
        <v>2919</v>
      </c>
      <c r="U13" s="493">
        <v>-0.05990338164251208</v>
      </c>
      <c r="V13" s="490">
        <v>2862</v>
      </c>
      <c r="W13" s="493">
        <f>+V13/K13-1</f>
        <v>-0.0631751227495908</v>
      </c>
      <c r="X13" s="1436"/>
      <c r="Z13" s="139" t="s">
        <v>220</v>
      </c>
    </row>
    <row r="14" spans="2:26" ht="12.75">
      <c r="B14" s="473"/>
      <c r="C14" s="37" t="s">
        <v>163</v>
      </c>
      <c r="D14" s="493"/>
      <c r="E14" s="490">
        <v>2118</v>
      </c>
      <c r="F14" s="493">
        <v>2.223744292237443</v>
      </c>
      <c r="G14" s="416"/>
      <c r="H14" s="490">
        <v>2180</v>
      </c>
      <c r="I14" s="493">
        <v>1.9261744966442955</v>
      </c>
      <c r="J14" s="416"/>
      <c r="K14" s="490">
        <v>2244</v>
      </c>
      <c r="L14" s="493">
        <v>1.75</v>
      </c>
      <c r="M14" s="490">
        <v>2349</v>
      </c>
      <c r="N14" s="493">
        <v>1.5285252960172229</v>
      </c>
      <c r="O14" s="490">
        <v>2349</v>
      </c>
      <c r="P14" s="493">
        <v>1.5285252960172229</v>
      </c>
      <c r="Q14" s="493"/>
      <c r="R14" s="490">
        <v>2372</v>
      </c>
      <c r="S14" s="493">
        <v>0.1199244570349387</v>
      </c>
      <c r="T14" s="490">
        <v>2361</v>
      </c>
      <c r="U14" s="493">
        <v>0.08302752293577975</v>
      </c>
      <c r="V14" s="490">
        <v>2343</v>
      </c>
      <c r="W14" s="493">
        <f>+V14/K14-1</f>
        <v>0.044117647058823595</v>
      </c>
      <c r="X14" s="1436"/>
      <c r="Z14" s="139" t="s">
        <v>221</v>
      </c>
    </row>
    <row r="15" spans="2:26" ht="12.75">
      <c r="B15" s="15"/>
      <c r="C15" s="64"/>
      <c r="D15" s="514"/>
      <c r="E15" s="513"/>
      <c r="F15" s="514"/>
      <c r="G15" s="515"/>
      <c r="H15" s="513"/>
      <c r="I15" s="514"/>
      <c r="J15" s="515"/>
      <c r="K15" s="513"/>
      <c r="L15" s="514"/>
      <c r="M15" s="513"/>
      <c r="N15" s="514"/>
      <c r="O15" s="513"/>
      <c r="P15" s="514"/>
      <c r="Q15" s="514"/>
      <c r="R15" s="513"/>
      <c r="S15" s="514"/>
      <c r="T15" s="513"/>
      <c r="U15" s="514"/>
      <c r="V15" s="513"/>
      <c r="W15" s="514"/>
      <c r="X15" s="1436"/>
      <c r="Z15" s="139" t="s">
        <v>222</v>
      </c>
    </row>
    <row r="16" spans="2:26" ht="12.75">
      <c r="B16" s="15"/>
      <c r="C16" s="27" t="s">
        <v>103</v>
      </c>
      <c r="D16" s="516"/>
      <c r="E16" s="171"/>
      <c r="F16" s="516"/>
      <c r="G16" s="81"/>
      <c r="H16" s="171"/>
      <c r="I16" s="516"/>
      <c r="J16" s="81"/>
      <c r="K16" s="171"/>
      <c r="L16" s="516"/>
      <c r="M16" s="171"/>
      <c r="N16" s="516"/>
      <c r="O16" s="171"/>
      <c r="P16" s="516"/>
      <c r="Q16" s="516"/>
      <c r="R16" s="171"/>
      <c r="S16" s="516"/>
      <c r="T16" s="171"/>
      <c r="U16" s="516"/>
      <c r="V16" s="171"/>
      <c r="W16" s="516"/>
      <c r="X16" s="1436"/>
      <c r="Z16" s="139" t="s">
        <v>534</v>
      </c>
    </row>
    <row r="17" spans="2:26" ht="12.75">
      <c r="B17" s="15"/>
      <c r="C17" s="37" t="s">
        <v>164</v>
      </c>
      <c r="D17" s="493"/>
      <c r="E17" s="490">
        <v>185</v>
      </c>
      <c r="F17" s="493">
        <v>-0.11483253588516751</v>
      </c>
      <c r="G17" s="416"/>
      <c r="H17" s="490">
        <v>172</v>
      </c>
      <c r="I17" s="493">
        <v>-0.12244897959183676</v>
      </c>
      <c r="J17" s="416"/>
      <c r="K17" s="490">
        <v>180</v>
      </c>
      <c r="L17" s="493">
        <v>-0.052631578947368474</v>
      </c>
      <c r="M17" s="490">
        <v>189</v>
      </c>
      <c r="N17" s="493">
        <v>0.016129032258064502</v>
      </c>
      <c r="O17" s="490">
        <v>189</v>
      </c>
      <c r="P17" s="493">
        <v>0.016129032258064502</v>
      </c>
      <c r="Q17" s="493"/>
      <c r="R17" s="490">
        <v>186</v>
      </c>
      <c r="S17" s="493">
        <v>0.007</v>
      </c>
      <c r="T17" s="490">
        <v>161</v>
      </c>
      <c r="U17" s="493">
        <v>-0.065</v>
      </c>
      <c r="V17" s="490">
        <v>158</v>
      </c>
      <c r="W17" s="493">
        <f>+V17/K17-1</f>
        <v>-0.12222222222222223</v>
      </c>
      <c r="X17" s="1436"/>
      <c r="Z17" s="139" t="s">
        <v>535</v>
      </c>
    </row>
    <row r="18" spans="2:26" ht="12.75">
      <c r="B18" s="473"/>
      <c r="C18" s="85"/>
      <c r="D18" s="516"/>
      <c r="E18" s="429"/>
      <c r="F18" s="516"/>
      <c r="G18" s="429"/>
      <c r="H18" s="429"/>
      <c r="I18" s="516"/>
      <c r="J18" s="429"/>
      <c r="K18" s="429"/>
      <c r="L18" s="516"/>
      <c r="M18" s="429"/>
      <c r="N18" s="516"/>
      <c r="O18" s="429"/>
      <c r="P18" s="516"/>
      <c r="Q18" s="516"/>
      <c r="R18" s="429"/>
      <c r="S18" s="516"/>
      <c r="T18" s="429"/>
      <c r="U18" s="516"/>
      <c r="V18" s="429"/>
      <c r="W18" s="516"/>
      <c r="X18" s="1436"/>
      <c r="Z18" s="139" t="s">
        <v>545</v>
      </c>
    </row>
    <row r="19" spans="2:26" ht="12.75">
      <c r="B19" s="15"/>
      <c r="C19" s="26"/>
      <c r="D19" s="516"/>
      <c r="E19" s="171"/>
      <c r="F19" s="516"/>
      <c r="G19" s="81"/>
      <c r="H19" s="171"/>
      <c r="I19" s="516"/>
      <c r="J19" s="81"/>
      <c r="K19" s="171"/>
      <c r="L19" s="516"/>
      <c r="M19" s="171"/>
      <c r="N19" s="516"/>
      <c r="O19" s="171"/>
      <c r="P19" s="516"/>
      <c r="Q19" s="516"/>
      <c r="R19" s="171"/>
      <c r="S19" s="516"/>
      <c r="T19" s="171"/>
      <c r="U19" s="516"/>
      <c r="V19" s="171"/>
      <c r="W19" s="516"/>
      <c r="X19" s="1436"/>
      <c r="Z19" s="139" t="s">
        <v>109</v>
      </c>
    </row>
    <row r="20" spans="2:26" ht="12.75">
      <c r="B20" s="517"/>
      <c r="C20" s="27" t="s">
        <v>44</v>
      </c>
      <c r="D20" s="469"/>
      <c r="E20" s="20" t="s">
        <v>6</v>
      </c>
      <c r="F20" s="1187" t="s">
        <v>134</v>
      </c>
      <c r="G20" s="404"/>
      <c r="H20" s="20" t="s">
        <v>142</v>
      </c>
      <c r="I20" s="1187" t="s">
        <v>134</v>
      </c>
      <c r="J20" s="404"/>
      <c r="K20" s="20" t="s">
        <v>143</v>
      </c>
      <c r="L20" s="1187" t="s">
        <v>134</v>
      </c>
      <c r="M20" s="20" t="s">
        <v>228</v>
      </c>
      <c r="N20" s="1187" t="s">
        <v>134</v>
      </c>
      <c r="O20" s="20" t="s">
        <v>226</v>
      </c>
      <c r="P20" s="1187" t="s">
        <v>134</v>
      </c>
      <c r="Q20" s="469"/>
      <c r="R20" s="53" t="s">
        <v>339</v>
      </c>
      <c r="S20" s="1206" t="s">
        <v>365</v>
      </c>
      <c r="T20" s="53" t="s">
        <v>435</v>
      </c>
      <c r="U20" s="1206" t="s">
        <v>365</v>
      </c>
      <c r="V20" s="53" t="s">
        <v>537</v>
      </c>
      <c r="W20" s="1206" t="s">
        <v>365</v>
      </c>
      <c r="X20" s="1436"/>
      <c r="Z20" s="139" t="s">
        <v>157</v>
      </c>
    </row>
    <row r="21" spans="2:26" ht="12.75">
      <c r="B21" s="15"/>
      <c r="C21" s="27" t="s">
        <v>0</v>
      </c>
      <c r="D21" s="518"/>
      <c r="E21" s="436">
        <v>216</v>
      </c>
      <c r="F21" s="518"/>
      <c r="G21" s="487"/>
      <c r="H21" s="487">
        <v>296</v>
      </c>
      <c r="I21" s="518"/>
      <c r="J21" s="487"/>
      <c r="K21" s="487">
        <v>312</v>
      </c>
      <c r="L21" s="518"/>
      <c r="M21" s="487">
        <v>327</v>
      </c>
      <c r="N21" s="518"/>
      <c r="O21" s="487">
        <v>1151</v>
      </c>
      <c r="P21" s="518"/>
      <c r="Q21" s="518"/>
      <c r="R21" s="487">
        <v>323</v>
      </c>
      <c r="S21" s="518">
        <v>0.49537037037037046</v>
      </c>
      <c r="T21" s="487">
        <v>319</v>
      </c>
      <c r="U21" s="518">
        <v>0.07770270270270263</v>
      </c>
      <c r="V21" s="487">
        <v>319</v>
      </c>
      <c r="W21" s="518">
        <f>+V21/K21-1</f>
        <v>0.022435897435897356</v>
      </c>
      <c r="X21" s="1436"/>
      <c r="Z21" s="1469" t="s">
        <v>382</v>
      </c>
    </row>
    <row r="22" spans="2:26" s="462" customFormat="1" ht="12.75">
      <c r="B22" s="15"/>
      <c r="C22" s="37" t="s">
        <v>42</v>
      </c>
      <c r="D22" s="493"/>
      <c r="E22" s="438">
        <v>198</v>
      </c>
      <c r="F22" s="493"/>
      <c r="G22" s="490"/>
      <c r="H22" s="490">
        <v>278</v>
      </c>
      <c r="I22" s="493"/>
      <c r="J22" s="490"/>
      <c r="K22" s="490">
        <v>291</v>
      </c>
      <c r="L22" s="493"/>
      <c r="M22" s="490">
        <v>307</v>
      </c>
      <c r="N22" s="493"/>
      <c r="O22" s="490">
        <v>1074</v>
      </c>
      <c r="P22" s="493"/>
      <c r="Q22" s="493"/>
      <c r="R22" s="490">
        <v>303</v>
      </c>
      <c r="S22" s="493">
        <v>0.5303030303030303</v>
      </c>
      <c r="T22" s="490">
        <v>298</v>
      </c>
      <c r="U22" s="493">
        <v>0.07194244604316546</v>
      </c>
      <c r="V22" s="490">
        <v>298</v>
      </c>
      <c r="W22" s="493">
        <f>+V22/K22-1</f>
        <v>0.02405498281786933</v>
      </c>
      <c r="X22" s="1437"/>
      <c r="Y22" s="1188"/>
      <c r="Z22" s="162" t="s">
        <v>312</v>
      </c>
    </row>
    <row r="23" spans="2:26" s="462" customFormat="1" ht="12.75">
      <c r="B23" s="15"/>
      <c r="C23" s="37" t="s">
        <v>43</v>
      </c>
      <c r="D23" s="493"/>
      <c r="E23" s="438">
        <v>18</v>
      </c>
      <c r="F23" s="493"/>
      <c r="G23" s="490"/>
      <c r="H23" s="438">
        <v>18</v>
      </c>
      <c r="I23" s="493"/>
      <c r="J23" s="490"/>
      <c r="K23" s="438">
        <v>21</v>
      </c>
      <c r="L23" s="493"/>
      <c r="M23" s="438">
        <v>20</v>
      </c>
      <c r="N23" s="493"/>
      <c r="O23" s="438">
        <v>77</v>
      </c>
      <c r="P23" s="493"/>
      <c r="Q23" s="493"/>
      <c r="R23" s="438">
        <v>20</v>
      </c>
      <c r="S23" s="493">
        <v>0.11111111111111116</v>
      </c>
      <c r="T23" s="438">
        <v>21</v>
      </c>
      <c r="U23" s="493">
        <v>0.16666666666666674</v>
      </c>
      <c r="V23" s="438">
        <v>21</v>
      </c>
      <c r="W23" s="493">
        <f>+V23/K23-1</f>
        <v>0</v>
      </c>
      <c r="X23" s="1437"/>
      <c r="Y23" s="1188"/>
      <c r="Z23" s="72"/>
    </row>
    <row r="24" spans="2:26" ht="12.75">
      <c r="B24" s="15"/>
      <c r="C24" s="37"/>
      <c r="D24" s="493"/>
      <c r="E24" s="438"/>
      <c r="F24" s="493"/>
      <c r="G24" s="490"/>
      <c r="H24" s="438"/>
      <c r="I24" s="493"/>
      <c r="J24" s="490"/>
      <c r="K24" s="438"/>
      <c r="L24" s="493"/>
      <c r="M24" s="438"/>
      <c r="N24" s="493"/>
      <c r="O24" s="438"/>
      <c r="P24" s="493"/>
      <c r="Q24" s="493"/>
      <c r="R24" s="438"/>
      <c r="S24" s="493"/>
      <c r="T24" s="438"/>
      <c r="U24" s="493"/>
      <c r="V24" s="438"/>
      <c r="W24" s="493"/>
      <c r="X24" s="1436"/>
      <c r="Z24" s="72"/>
    </row>
    <row r="25" spans="2:26" s="462" customFormat="1" ht="12.75">
      <c r="B25" s="15"/>
      <c r="C25" s="6" t="s">
        <v>45</v>
      </c>
      <c r="D25" s="518"/>
      <c r="E25" s="436">
        <v>54</v>
      </c>
      <c r="F25" s="518"/>
      <c r="G25" s="487"/>
      <c r="H25" s="487">
        <v>74</v>
      </c>
      <c r="I25" s="518"/>
      <c r="J25" s="487"/>
      <c r="K25" s="487">
        <v>84</v>
      </c>
      <c r="L25" s="518"/>
      <c r="M25" s="487">
        <v>85</v>
      </c>
      <c r="N25" s="518"/>
      <c r="O25" s="487">
        <v>297</v>
      </c>
      <c r="P25" s="518"/>
      <c r="Q25" s="518"/>
      <c r="R25" s="487">
        <v>61</v>
      </c>
      <c r="S25" s="518">
        <v>0.12962962962962954</v>
      </c>
      <c r="T25" s="487">
        <v>58</v>
      </c>
      <c r="U25" s="518">
        <v>-0.21621621621621623</v>
      </c>
      <c r="V25" s="487">
        <v>73</v>
      </c>
      <c r="W25" s="518">
        <f>+V25/K25-1</f>
        <v>-0.13095238095238093</v>
      </c>
      <c r="X25" s="1437"/>
      <c r="Y25" s="1188"/>
      <c r="Z25" s="72"/>
    </row>
    <row r="26" spans="2:26" ht="12.75">
      <c r="B26" s="15"/>
      <c r="C26" s="37" t="s">
        <v>42</v>
      </c>
      <c r="D26" s="493"/>
      <c r="E26" s="438">
        <v>49</v>
      </c>
      <c r="F26" s="493"/>
      <c r="G26" s="490"/>
      <c r="H26" s="438">
        <v>69</v>
      </c>
      <c r="I26" s="493"/>
      <c r="J26" s="490"/>
      <c r="K26" s="438">
        <v>79</v>
      </c>
      <c r="L26" s="493"/>
      <c r="M26" s="438">
        <v>84</v>
      </c>
      <c r="N26" s="493"/>
      <c r="O26" s="438">
        <v>281</v>
      </c>
      <c r="P26" s="493"/>
      <c r="Q26" s="493"/>
      <c r="R26" s="438">
        <v>59</v>
      </c>
      <c r="S26" s="493">
        <v>0.20408163265306123</v>
      </c>
      <c r="T26" s="438">
        <v>56</v>
      </c>
      <c r="U26" s="493">
        <v>-0.18840579710144922</v>
      </c>
      <c r="V26" s="438">
        <v>70</v>
      </c>
      <c r="W26" s="493">
        <f>+V26/K26-1</f>
        <v>-0.11392405063291144</v>
      </c>
      <c r="X26" s="1436"/>
      <c r="Z26" s="72"/>
    </row>
    <row r="27" spans="2:26" ht="12.75">
      <c r="B27" s="435"/>
      <c r="C27" s="37" t="s">
        <v>43</v>
      </c>
      <c r="D27" s="493"/>
      <c r="E27" s="438">
        <v>5</v>
      </c>
      <c r="F27" s="493"/>
      <c r="G27" s="490"/>
      <c r="H27" s="438">
        <v>5</v>
      </c>
      <c r="I27" s="493"/>
      <c r="J27" s="490"/>
      <c r="K27" s="438">
        <v>5</v>
      </c>
      <c r="L27" s="493"/>
      <c r="M27" s="438">
        <v>1</v>
      </c>
      <c r="N27" s="493"/>
      <c r="O27" s="438">
        <v>16</v>
      </c>
      <c r="P27" s="493"/>
      <c r="Q27" s="493"/>
      <c r="R27" s="438">
        <v>2</v>
      </c>
      <c r="S27" s="493">
        <v>-0.6</v>
      </c>
      <c r="T27" s="438">
        <v>2</v>
      </c>
      <c r="U27" s="493">
        <v>-0.6</v>
      </c>
      <c r="V27" s="438">
        <v>3</v>
      </c>
      <c r="W27" s="493">
        <f>+V27/K27-1</f>
        <v>-0.4</v>
      </c>
      <c r="X27" s="1436"/>
      <c r="Z27" s="509"/>
    </row>
    <row r="28" spans="2:26" ht="12.75">
      <c r="B28" s="15"/>
      <c r="C28" s="519" t="s">
        <v>46</v>
      </c>
      <c r="D28" s="521"/>
      <c r="E28" s="520">
        <v>0.25</v>
      </c>
      <c r="F28" s="521"/>
      <c r="G28" s="522"/>
      <c r="H28" s="492">
        <v>0.25</v>
      </c>
      <c r="I28" s="521"/>
      <c r="J28" s="522"/>
      <c r="K28" s="492">
        <v>0.269</v>
      </c>
      <c r="L28" s="521"/>
      <c r="M28" s="492">
        <v>0.2599388379204893</v>
      </c>
      <c r="N28" s="521"/>
      <c r="O28" s="492">
        <v>0.2580364900086881</v>
      </c>
      <c r="P28" s="521"/>
      <c r="Q28" s="521"/>
      <c r="R28" s="492">
        <v>0.189</v>
      </c>
      <c r="S28" s="1190" t="s">
        <v>334</v>
      </c>
      <c r="T28" s="492">
        <f>+T25/T21</f>
        <v>0.18181818181818182</v>
      </c>
      <c r="U28" s="1190">
        <v>-6.8181818181818175</v>
      </c>
      <c r="V28" s="492">
        <f>+V25/V21</f>
        <v>0.22884012539184953</v>
      </c>
      <c r="W28" s="1190">
        <f>+(V28-K28)*100</f>
        <v>-4.015987460815048</v>
      </c>
      <c r="X28" s="1436"/>
      <c r="Z28" s="508"/>
    </row>
    <row r="29" spans="2:26" s="507" customFormat="1" ht="12.75">
      <c r="B29" s="15"/>
      <c r="C29" s="519"/>
      <c r="D29" s="493"/>
      <c r="E29" s="365"/>
      <c r="F29" s="493"/>
      <c r="G29" s="416"/>
      <c r="H29" s="416"/>
      <c r="I29" s="493"/>
      <c r="J29" s="416"/>
      <c r="K29" s="416"/>
      <c r="L29" s="493"/>
      <c r="M29" s="416"/>
      <c r="N29" s="493"/>
      <c r="O29" s="416"/>
      <c r="P29" s="493"/>
      <c r="Q29" s="493"/>
      <c r="R29" s="416"/>
      <c r="S29" s="493"/>
      <c r="T29" s="416"/>
      <c r="U29" s="493"/>
      <c r="V29" s="416"/>
      <c r="W29" s="493"/>
      <c r="X29" s="1438"/>
      <c r="Y29" s="1189"/>
      <c r="Z29" s="464"/>
    </row>
    <row r="30" spans="2:24" ht="12.75">
      <c r="B30" s="15"/>
      <c r="C30" s="6" t="s">
        <v>47</v>
      </c>
      <c r="D30" s="518"/>
      <c r="E30" s="436">
        <v>22</v>
      </c>
      <c r="F30" s="518"/>
      <c r="G30" s="487"/>
      <c r="H30" s="487">
        <v>30</v>
      </c>
      <c r="I30" s="518"/>
      <c r="J30" s="487"/>
      <c r="K30" s="487">
        <v>37</v>
      </c>
      <c r="L30" s="518"/>
      <c r="M30" s="487">
        <v>33</v>
      </c>
      <c r="N30" s="518"/>
      <c r="O30" s="487">
        <v>122</v>
      </c>
      <c r="P30" s="518"/>
      <c r="Q30" s="518"/>
      <c r="R30" s="487">
        <v>6</v>
      </c>
      <c r="S30" s="518">
        <v>-0.7272727272727273</v>
      </c>
      <c r="T30" s="487">
        <v>-4</v>
      </c>
      <c r="U30" s="493" t="s">
        <v>141</v>
      </c>
      <c r="V30" s="487">
        <v>8</v>
      </c>
      <c r="W30" s="493" t="s">
        <v>141</v>
      </c>
      <c r="X30" s="1436"/>
    </row>
    <row r="31" spans="2:24" ht="12.75">
      <c r="B31" s="15"/>
      <c r="C31" s="37" t="s">
        <v>42</v>
      </c>
      <c r="D31" s="493"/>
      <c r="E31" s="438">
        <v>21</v>
      </c>
      <c r="F31" s="493"/>
      <c r="G31" s="490"/>
      <c r="H31" s="438">
        <v>31</v>
      </c>
      <c r="I31" s="493"/>
      <c r="J31" s="490"/>
      <c r="K31" s="438">
        <v>38</v>
      </c>
      <c r="L31" s="493"/>
      <c r="M31" s="438">
        <v>37</v>
      </c>
      <c r="N31" s="493"/>
      <c r="O31" s="438">
        <v>126</v>
      </c>
      <c r="P31" s="493"/>
      <c r="Q31" s="493"/>
      <c r="R31" s="438">
        <v>9</v>
      </c>
      <c r="S31" s="493">
        <v>-0.5238095238095238</v>
      </c>
      <c r="T31" s="438">
        <v>0</v>
      </c>
      <c r="U31" s="493" t="s">
        <v>141</v>
      </c>
      <c r="V31" s="438">
        <v>10</v>
      </c>
      <c r="W31" s="493" t="s">
        <v>141</v>
      </c>
      <c r="X31" s="1436"/>
    </row>
    <row r="32" spans="2:26" s="462" customFormat="1" ht="12.75">
      <c r="B32" s="435"/>
      <c r="C32" s="37" t="s">
        <v>43</v>
      </c>
      <c r="D32" s="493"/>
      <c r="E32" s="438">
        <v>1</v>
      </c>
      <c r="F32" s="493"/>
      <c r="G32" s="490"/>
      <c r="H32" s="438">
        <v>-1</v>
      </c>
      <c r="I32" s="493"/>
      <c r="J32" s="490"/>
      <c r="K32" s="438">
        <v>0</v>
      </c>
      <c r="L32" s="493"/>
      <c r="M32" s="438">
        <v>-4</v>
      </c>
      <c r="N32" s="493"/>
      <c r="O32" s="438">
        <v>-4</v>
      </c>
      <c r="P32" s="493"/>
      <c r="Q32" s="493"/>
      <c r="R32" s="438">
        <v>-4</v>
      </c>
      <c r="S32" s="493">
        <v>-5</v>
      </c>
      <c r="T32" s="438">
        <v>-4</v>
      </c>
      <c r="U32" s="493" t="s">
        <v>141</v>
      </c>
      <c r="V32" s="438">
        <v>-2</v>
      </c>
      <c r="W32" s="493" t="s">
        <v>141</v>
      </c>
      <c r="X32" s="1437"/>
      <c r="Y32" s="1188"/>
      <c r="Z32" s="510"/>
    </row>
    <row r="33" spans="2:24" ht="12.75">
      <c r="B33" s="15"/>
      <c r="C33" s="519" t="s">
        <v>48</v>
      </c>
      <c r="D33" s="521"/>
      <c r="E33" s="520">
        <v>0.102</v>
      </c>
      <c r="F33" s="521"/>
      <c r="G33" s="522"/>
      <c r="H33" s="492">
        <v>0.101</v>
      </c>
      <c r="I33" s="521"/>
      <c r="J33" s="522"/>
      <c r="K33" s="492">
        <v>0.119</v>
      </c>
      <c r="L33" s="521"/>
      <c r="M33" s="492">
        <v>0.10091743119266056</v>
      </c>
      <c r="N33" s="521"/>
      <c r="O33" s="492">
        <v>0.10599478714161599</v>
      </c>
      <c r="P33" s="521"/>
      <c r="Q33" s="521"/>
      <c r="R33" s="492">
        <v>0.019</v>
      </c>
      <c r="S33" s="1190" t="s">
        <v>345</v>
      </c>
      <c r="T33" s="492">
        <f>+T30/T21</f>
        <v>-0.012539184952978056</v>
      </c>
      <c r="U33" s="1435" t="s">
        <v>499</v>
      </c>
      <c r="V33" s="492">
        <f>+V30/V21</f>
        <v>0.025078369905956112</v>
      </c>
      <c r="W33" s="1190">
        <f>+(V33-K33)*100</f>
        <v>-9.392163009404388</v>
      </c>
      <c r="X33" s="1436"/>
    </row>
    <row r="34" spans="2:26" ht="12.75">
      <c r="B34" s="15"/>
      <c r="C34" s="519"/>
      <c r="D34" s="493"/>
      <c r="E34" s="365"/>
      <c r="F34" s="493"/>
      <c r="G34" s="416"/>
      <c r="H34" s="416"/>
      <c r="I34" s="493"/>
      <c r="J34" s="416"/>
      <c r="K34" s="416"/>
      <c r="L34" s="493"/>
      <c r="M34" s="416"/>
      <c r="N34" s="493"/>
      <c r="O34" s="416"/>
      <c r="P34" s="493"/>
      <c r="Q34" s="493"/>
      <c r="R34" s="416"/>
      <c r="S34" s="493"/>
      <c r="T34" s="416"/>
      <c r="U34" s="493"/>
      <c r="V34" s="416"/>
      <c r="W34" s="493"/>
      <c r="X34" s="1436"/>
      <c r="Z34" s="509"/>
    </row>
    <row r="35" spans="2:24" ht="12.75">
      <c r="B35" s="15"/>
      <c r="C35" s="6" t="s">
        <v>13</v>
      </c>
      <c r="D35" s="518"/>
      <c r="E35" s="436">
        <v>110</v>
      </c>
      <c r="F35" s="518"/>
      <c r="G35" s="487"/>
      <c r="H35" s="487">
        <v>81</v>
      </c>
      <c r="I35" s="518"/>
      <c r="J35" s="487"/>
      <c r="K35" s="487">
        <v>78</v>
      </c>
      <c r="L35" s="518"/>
      <c r="M35" s="487">
        <v>89</v>
      </c>
      <c r="N35" s="518"/>
      <c r="O35" s="487">
        <v>358</v>
      </c>
      <c r="P35" s="518"/>
      <c r="Q35" s="518"/>
      <c r="R35" s="487">
        <v>100</v>
      </c>
      <c r="S35" s="518">
        <v>-0.09090909090909094</v>
      </c>
      <c r="T35" s="487">
        <v>89</v>
      </c>
      <c r="U35" s="493">
        <v>0.1125</v>
      </c>
      <c r="V35" s="487">
        <v>64</v>
      </c>
      <c r="W35" s="493">
        <f>+V35/K35-1</f>
        <v>-0.17948717948717952</v>
      </c>
      <c r="X35" s="1436"/>
    </row>
    <row r="36" spans="2:24" ht="12.75">
      <c r="B36" s="473"/>
      <c r="C36" s="37" t="s">
        <v>42</v>
      </c>
      <c r="D36" s="493"/>
      <c r="E36" s="438">
        <v>108</v>
      </c>
      <c r="F36" s="493"/>
      <c r="G36" s="490"/>
      <c r="H36" s="438">
        <v>78</v>
      </c>
      <c r="I36" s="493"/>
      <c r="J36" s="490"/>
      <c r="K36" s="438">
        <v>76</v>
      </c>
      <c r="L36" s="493"/>
      <c r="M36" s="438">
        <v>82</v>
      </c>
      <c r="N36" s="493"/>
      <c r="O36" s="438">
        <v>344</v>
      </c>
      <c r="P36" s="493"/>
      <c r="Q36" s="493"/>
      <c r="R36" s="438">
        <v>97</v>
      </c>
      <c r="S36" s="493">
        <v>-0.10185185185185186</v>
      </c>
      <c r="T36" s="438">
        <v>84</v>
      </c>
      <c r="U36" s="493">
        <v>0.07692307692307687</v>
      </c>
      <c r="V36" s="438">
        <v>59</v>
      </c>
      <c r="W36" s="493">
        <f>+V36/K36-1</f>
        <v>-0.22368421052631582</v>
      </c>
      <c r="X36" s="1436"/>
    </row>
    <row r="37" spans="2:24" ht="12.75">
      <c r="B37" s="15"/>
      <c r="C37" s="37" t="s">
        <v>43</v>
      </c>
      <c r="D37" s="493"/>
      <c r="E37" s="438">
        <v>2</v>
      </c>
      <c r="F37" s="493"/>
      <c r="G37" s="490"/>
      <c r="H37" s="438">
        <v>2</v>
      </c>
      <c r="I37" s="493"/>
      <c r="J37" s="490"/>
      <c r="K37" s="438">
        <v>3</v>
      </c>
      <c r="L37" s="493"/>
      <c r="M37" s="438">
        <v>7</v>
      </c>
      <c r="N37" s="493"/>
      <c r="O37" s="438">
        <v>14</v>
      </c>
      <c r="P37" s="493"/>
      <c r="Q37" s="493"/>
      <c r="R37" s="438">
        <v>3</v>
      </c>
      <c r="S37" s="493">
        <v>0.5</v>
      </c>
      <c r="T37" s="438">
        <v>5</v>
      </c>
      <c r="U37" s="493">
        <v>1.5</v>
      </c>
      <c r="V37" s="438">
        <v>5</v>
      </c>
      <c r="W37" s="493">
        <f>+V37/K37-1</f>
        <v>0.6666666666666667</v>
      </c>
      <c r="X37" s="1436"/>
    </row>
    <row r="38" spans="2:26" ht="12.75">
      <c r="B38" s="435"/>
      <c r="C38" s="519" t="s">
        <v>1</v>
      </c>
      <c r="D38" s="521"/>
      <c r="E38" s="520">
        <v>0.509</v>
      </c>
      <c r="F38" s="521"/>
      <c r="G38" s="522"/>
      <c r="H38" s="492">
        <v>0.27</v>
      </c>
      <c r="I38" s="521"/>
      <c r="J38" s="522"/>
      <c r="K38" s="492">
        <v>0.253</v>
      </c>
      <c r="L38" s="521"/>
      <c r="M38" s="492">
        <v>0.27217125382262997</v>
      </c>
      <c r="N38" s="521"/>
      <c r="O38" s="492">
        <v>0.3110338835794961</v>
      </c>
      <c r="P38" s="521"/>
      <c r="Q38" s="521"/>
      <c r="R38" s="492">
        <v>0.31</v>
      </c>
      <c r="S38" s="1190" t="s">
        <v>346</v>
      </c>
      <c r="T38" s="492">
        <f>+T35/T21</f>
        <v>0.27899686520376177</v>
      </c>
      <c r="U38" s="1190">
        <v>0.899686520376175</v>
      </c>
      <c r="V38" s="492">
        <f>+V35/V21</f>
        <v>0.2006269592476489</v>
      </c>
      <c r="W38" s="1190">
        <f>+(V38-K38)*100</f>
        <v>-5.2373040752351105</v>
      </c>
      <c r="X38" s="1436"/>
      <c r="Z38" s="510"/>
    </row>
    <row r="39" spans="2:24" ht="12.75">
      <c r="B39" s="15"/>
      <c r="C39" s="523"/>
      <c r="D39" s="524"/>
      <c r="E39" s="485"/>
      <c r="F39" s="524"/>
      <c r="G39" s="485"/>
      <c r="H39" s="485"/>
      <c r="I39" s="524"/>
      <c r="J39" s="485"/>
      <c r="K39" s="485"/>
      <c r="L39" s="524"/>
      <c r="M39" s="485"/>
      <c r="N39" s="524"/>
      <c r="O39" s="485"/>
      <c r="P39" s="524"/>
      <c r="Q39" s="524"/>
      <c r="R39" s="485"/>
      <c r="S39" s="524"/>
      <c r="T39" s="485"/>
      <c r="U39" s="524"/>
      <c r="V39" s="485"/>
      <c r="W39" s="524"/>
      <c r="X39" s="1436"/>
    </row>
    <row r="40" spans="2:26" ht="14.25" customHeight="1">
      <c r="B40" s="15"/>
      <c r="C40" s="525"/>
      <c r="D40" s="526"/>
      <c r="E40" s="430"/>
      <c r="F40" s="526"/>
      <c r="G40" s="430"/>
      <c r="H40" s="430"/>
      <c r="I40" s="526"/>
      <c r="J40" s="430"/>
      <c r="K40" s="430"/>
      <c r="L40" s="526"/>
      <c r="M40" s="430"/>
      <c r="N40" s="526"/>
      <c r="O40" s="430"/>
      <c r="P40" s="526"/>
      <c r="Q40" s="526"/>
      <c r="R40" s="430"/>
      <c r="S40" s="526"/>
      <c r="T40" s="430"/>
      <c r="U40" s="526"/>
      <c r="V40" s="430"/>
      <c r="W40" s="526"/>
      <c r="X40" s="1436"/>
      <c r="Z40" s="509"/>
    </row>
    <row r="41" spans="2:26" ht="12.75">
      <c r="B41" s="15"/>
      <c r="C41" s="1227" t="s">
        <v>543</v>
      </c>
      <c r="D41" s="529"/>
      <c r="E41" s="529"/>
      <c r="F41" s="529"/>
      <c r="G41" s="529"/>
      <c r="H41" s="529"/>
      <c r="I41" s="529"/>
      <c r="J41" s="529"/>
      <c r="K41" s="529"/>
      <c r="L41" s="529"/>
      <c r="M41" s="529"/>
      <c r="N41" s="529"/>
      <c r="O41" s="529"/>
      <c r="P41" s="529"/>
      <c r="Q41" s="529"/>
      <c r="R41" s="529"/>
      <c r="S41" s="529"/>
      <c r="T41" s="529"/>
      <c r="U41" s="529"/>
      <c r="V41" s="529"/>
      <c r="W41" s="529"/>
      <c r="X41" s="1436"/>
      <c r="Z41" s="72"/>
    </row>
    <row r="42" spans="2:26" ht="12.75">
      <c r="B42" s="473"/>
      <c r="C42" s="1227" t="s">
        <v>542</v>
      </c>
      <c r="D42" s="516"/>
      <c r="E42" s="429"/>
      <c r="F42" s="516"/>
      <c r="G42" s="429"/>
      <c r="H42" s="429"/>
      <c r="I42" s="516"/>
      <c r="J42" s="429"/>
      <c r="K42" s="429"/>
      <c r="L42" s="516"/>
      <c r="M42" s="429"/>
      <c r="N42" s="516"/>
      <c r="O42" s="429"/>
      <c r="P42" s="516"/>
      <c r="Q42" s="516"/>
      <c r="R42" s="429"/>
      <c r="S42" s="516"/>
      <c r="T42" s="516"/>
      <c r="U42" s="79"/>
      <c r="V42" s="516"/>
      <c r="W42" s="79"/>
      <c r="X42" s="1436"/>
      <c r="Z42" s="72"/>
    </row>
    <row r="43" spans="2:26" s="82" customFormat="1" ht="12.75">
      <c r="B43" s="339"/>
      <c r="C43" s="1204"/>
      <c r="D43" s="1446"/>
      <c r="E43" s="1445"/>
      <c r="F43" s="1446"/>
      <c r="G43" s="1445"/>
      <c r="H43" s="1445"/>
      <c r="I43" s="1446"/>
      <c r="J43" s="1445"/>
      <c r="K43" s="1445"/>
      <c r="L43" s="1446"/>
      <c r="M43" s="1445"/>
      <c r="N43" s="1446"/>
      <c r="O43" s="1445"/>
      <c r="P43" s="1446"/>
      <c r="Q43" s="1446"/>
      <c r="R43" s="1445"/>
      <c r="S43" s="1446"/>
      <c r="T43" s="1446"/>
      <c r="U43" s="1204"/>
      <c r="V43" s="1446"/>
      <c r="W43" s="1204"/>
      <c r="X43" s="1447"/>
      <c r="Y43" s="1186"/>
      <c r="Z43" s="72"/>
    </row>
    <row r="44" spans="2:23" ht="12.75">
      <c r="B44" s="1441"/>
      <c r="C44" s="1"/>
      <c r="D44" s="1443"/>
      <c r="E44" s="1442"/>
      <c r="F44" s="1443"/>
      <c r="G44" s="1442"/>
      <c r="H44" s="1442"/>
      <c r="I44" s="1443"/>
      <c r="J44" s="1442"/>
      <c r="K44" s="1442"/>
      <c r="L44" s="1443"/>
      <c r="M44" s="1442"/>
      <c r="N44" s="1443"/>
      <c r="O44" s="1442"/>
      <c r="P44" s="1443"/>
      <c r="Q44" s="1443"/>
      <c r="R44" s="1442"/>
      <c r="S44" s="1443"/>
      <c r="T44" s="1443"/>
      <c r="U44" s="1"/>
      <c r="V44" s="1443"/>
      <c r="W44" s="1"/>
    </row>
    <row r="45" spans="2:23" ht="12.75">
      <c r="B45" s="152"/>
      <c r="C45" s="1"/>
      <c r="D45" s="1443"/>
      <c r="E45" s="1442"/>
      <c r="F45" s="1443"/>
      <c r="G45" s="1442"/>
      <c r="H45" s="1442"/>
      <c r="I45" s="1443"/>
      <c r="J45" s="1442"/>
      <c r="K45" s="1442"/>
      <c r="L45" s="1443"/>
      <c r="M45" s="1442"/>
      <c r="N45" s="1443"/>
      <c r="O45" s="1442"/>
      <c r="P45" s="1443"/>
      <c r="Q45" s="1443"/>
      <c r="R45" s="1442"/>
      <c r="S45" s="1443"/>
      <c r="T45" s="1443"/>
      <c r="U45" s="1"/>
      <c r="V45" s="1443"/>
      <c r="W45" s="1"/>
    </row>
    <row r="46" spans="2:23" ht="12.75">
      <c r="B46" s="152"/>
      <c r="C46" s="1"/>
      <c r="D46" s="1443"/>
      <c r="E46" s="1442"/>
      <c r="F46" s="1443"/>
      <c r="G46" s="1442"/>
      <c r="H46" s="1442"/>
      <c r="I46" s="1443"/>
      <c r="J46" s="1442"/>
      <c r="K46" s="1442"/>
      <c r="L46" s="1443"/>
      <c r="M46" s="1442"/>
      <c r="N46" s="1443"/>
      <c r="O46" s="1442"/>
      <c r="P46" s="1443"/>
      <c r="Q46" s="1443"/>
      <c r="R46" s="1442"/>
      <c r="S46" s="1443"/>
      <c r="T46" s="1443"/>
      <c r="U46" s="1"/>
      <c r="V46" s="1443"/>
      <c r="W46" s="1"/>
    </row>
    <row r="47" spans="2:23" ht="12.75">
      <c r="B47" s="152"/>
      <c r="C47" s="1"/>
      <c r="D47" s="1443"/>
      <c r="E47" s="1442"/>
      <c r="F47" s="1443"/>
      <c r="G47" s="1442"/>
      <c r="H47" s="1442"/>
      <c r="I47" s="1443"/>
      <c r="J47" s="1442"/>
      <c r="K47" s="1442"/>
      <c r="L47" s="1443"/>
      <c r="M47" s="1442"/>
      <c r="N47" s="1443"/>
      <c r="O47" s="1442"/>
      <c r="P47" s="1443"/>
      <c r="Q47" s="1443"/>
      <c r="R47" s="1442"/>
      <c r="S47" s="1443"/>
      <c r="T47" s="1443"/>
      <c r="U47" s="1"/>
      <c r="V47" s="1443"/>
      <c r="W47" s="1"/>
    </row>
    <row r="48" spans="2:23" ht="12.75">
      <c r="B48" s="1444"/>
      <c r="C48" s="1"/>
      <c r="D48" s="1443"/>
      <c r="E48" s="1442"/>
      <c r="F48" s="1443"/>
      <c r="G48" s="1442"/>
      <c r="H48" s="1442"/>
      <c r="I48" s="1443"/>
      <c r="J48" s="1442"/>
      <c r="K48" s="1442"/>
      <c r="L48" s="1443"/>
      <c r="M48" s="1442"/>
      <c r="N48" s="1443"/>
      <c r="O48" s="1442"/>
      <c r="P48" s="1443"/>
      <c r="Q48" s="1443"/>
      <c r="R48" s="1442"/>
      <c r="S48" s="1443"/>
      <c r="T48" s="1443"/>
      <c r="U48" s="1"/>
      <c r="V48" s="1443"/>
      <c r="W48" s="1"/>
    </row>
    <row r="49" spans="2:26" s="82" customFormat="1" ht="12.75">
      <c r="B49" s="152"/>
      <c r="C49" s="1"/>
      <c r="D49" s="1443"/>
      <c r="E49" s="1442"/>
      <c r="F49" s="1443"/>
      <c r="G49" s="1442"/>
      <c r="H49" s="1442"/>
      <c r="I49" s="1443"/>
      <c r="J49" s="1442"/>
      <c r="K49" s="1442"/>
      <c r="L49" s="1443"/>
      <c r="M49" s="1442"/>
      <c r="N49" s="1443"/>
      <c r="O49" s="1442"/>
      <c r="P49" s="1443"/>
      <c r="Q49" s="1443"/>
      <c r="R49" s="1442"/>
      <c r="S49" s="1443"/>
      <c r="T49" s="1443"/>
      <c r="U49" s="1"/>
      <c r="V49" s="1443"/>
      <c r="W49" s="1"/>
      <c r="X49" s="1186"/>
      <c r="Y49" s="1186"/>
      <c r="Z49" s="464"/>
    </row>
    <row r="50" spans="2:23" ht="12.75">
      <c r="B50" s="152"/>
      <c r="C50" s="1"/>
      <c r="D50" s="1443"/>
      <c r="E50" s="1442"/>
      <c r="F50" s="1443"/>
      <c r="G50" s="1442"/>
      <c r="H50" s="1442"/>
      <c r="I50" s="1443"/>
      <c r="J50" s="1442"/>
      <c r="K50" s="1442"/>
      <c r="L50" s="1443"/>
      <c r="M50" s="1442"/>
      <c r="N50" s="1443"/>
      <c r="O50" s="1442"/>
      <c r="P50" s="1443"/>
      <c r="Q50" s="1443"/>
      <c r="R50" s="1442"/>
      <c r="S50" s="1443"/>
      <c r="T50" s="1443"/>
      <c r="U50" s="1"/>
      <c r="V50" s="1443"/>
      <c r="W50" s="1"/>
    </row>
    <row r="51" spans="2:23" ht="12.75">
      <c r="B51" s="152"/>
      <c r="C51" s="1"/>
      <c r="D51" s="1443"/>
      <c r="E51" s="1442"/>
      <c r="F51" s="1443"/>
      <c r="G51" s="1442"/>
      <c r="H51" s="1442"/>
      <c r="I51" s="1443"/>
      <c r="J51" s="1442"/>
      <c r="K51" s="1442"/>
      <c r="L51" s="1443"/>
      <c r="M51" s="1442"/>
      <c r="N51" s="1443"/>
      <c r="O51" s="1442"/>
      <c r="P51" s="1443"/>
      <c r="Q51" s="1443"/>
      <c r="R51" s="1442"/>
      <c r="S51" s="1443"/>
      <c r="T51" s="1443"/>
      <c r="U51" s="1"/>
      <c r="V51" s="1443"/>
      <c r="W51" s="1"/>
    </row>
    <row r="52" spans="2:23" ht="12.75">
      <c r="B52" s="79"/>
      <c r="C52" s="1"/>
      <c r="D52" s="1443"/>
      <c r="E52" s="1442"/>
      <c r="F52" s="1443"/>
      <c r="G52" s="1442"/>
      <c r="H52" s="1442"/>
      <c r="I52" s="1443"/>
      <c r="J52" s="1442"/>
      <c r="K52" s="1442"/>
      <c r="L52" s="1443"/>
      <c r="M52" s="1442"/>
      <c r="N52" s="1443"/>
      <c r="O52" s="1442"/>
      <c r="P52" s="1443"/>
      <c r="Q52" s="1443"/>
      <c r="R52" s="1442"/>
      <c r="S52" s="1443"/>
      <c r="T52" s="1443"/>
      <c r="U52" s="1"/>
      <c r="V52" s="1443"/>
      <c r="W52" s="1"/>
    </row>
    <row r="53" spans="2:26" s="462" customFormat="1" ht="12.75">
      <c r="B53" s="3"/>
      <c r="C53" s="3"/>
      <c r="D53" s="506"/>
      <c r="E53" s="71"/>
      <c r="F53" s="506"/>
      <c r="G53" s="71"/>
      <c r="H53" s="71"/>
      <c r="I53" s="506"/>
      <c r="J53" s="71"/>
      <c r="K53" s="71"/>
      <c r="L53" s="506"/>
      <c r="M53" s="71"/>
      <c r="N53" s="506"/>
      <c r="O53" s="71"/>
      <c r="P53" s="506"/>
      <c r="Q53" s="506"/>
      <c r="R53" s="71"/>
      <c r="S53" s="506"/>
      <c r="T53" s="506"/>
      <c r="U53" s="3"/>
      <c r="V53" s="506"/>
      <c r="W53" s="3"/>
      <c r="X53" s="1188"/>
      <c r="Y53" s="1188"/>
      <c r="Z53" s="464"/>
    </row>
    <row r="54" ht="4.5" customHeight="1"/>
    <row r="55" spans="2:26" s="82" customFormat="1" ht="12.75">
      <c r="B55" s="3"/>
      <c r="C55" s="3"/>
      <c r="D55" s="506"/>
      <c r="E55" s="71"/>
      <c r="F55" s="506"/>
      <c r="G55" s="71"/>
      <c r="H55" s="71"/>
      <c r="I55" s="506"/>
      <c r="J55" s="71"/>
      <c r="K55" s="71"/>
      <c r="L55" s="506"/>
      <c r="M55" s="71"/>
      <c r="N55" s="506"/>
      <c r="O55" s="71"/>
      <c r="P55" s="506"/>
      <c r="Q55" s="506"/>
      <c r="R55" s="71"/>
      <c r="S55" s="506"/>
      <c r="T55" s="506"/>
      <c r="U55" s="3"/>
      <c r="V55" s="506"/>
      <c r="W55" s="3"/>
      <c r="X55" s="1186"/>
      <c r="Y55" s="1186"/>
      <c r="Z55" s="464"/>
    </row>
    <row r="59" spans="2:26" s="462" customFormat="1" ht="12.75">
      <c r="B59" s="3"/>
      <c r="C59" s="3"/>
      <c r="D59" s="506"/>
      <c r="E59" s="71"/>
      <c r="F59" s="506"/>
      <c r="G59" s="71"/>
      <c r="H59" s="71"/>
      <c r="I59" s="506"/>
      <c r="J59" s="71"/>
      <c r="K59" s="71"/>
      <c r="L59" s="506"/>
      <c r="M59" s="71"/>
      <c r="N59" s="506"/>
      <c r="O59" s="71"/>
      <c r="P59" s="506"/>
      <c r="Q59" s="506"/>
      <c r="R59" s="71"/>
      <c r="S59" s="506"/>
      <c r="T59" s="506"/>
      <c r="U59" s="3"/>
      <c r="V59" s="506"/>
      <c r="W59" s="3"/>
      <c r="X59" s="1188"/>
      <c r="Y59" s="1188"/>
      <c r="Z59" s="464"/>
    </row>
    <row r="60" ht="4.5" customHeight="1"/>
    <row r="61" spans="2:26" s="82" customFormat="1" ht="14.25" customHeight="1">
      <c r="B61" s="3"/>
      <c r="C61" s="3"/>
      <c r="D61" s="506"/>
      <c r="E61" s="71"/>
      <c r="F61" s="506"/>
      <c r="G61" s="71"/>
      <c r="H61" s="71"/>
      <c r="I61" s="506"/>
      <c r="J61" s="71"/>
      <c r="K61" s="71"/>
      <c r="L61" s="506"/>
      <c r="M61" s="71"/>
      <c r="N61" s="506"/>
      <c r="O61" s="71"/>
      <c r="P61" s="506"/>
      <c r="Q61" s="506"/>
      <c r="R61" s="71"/>
      <c r="S61" s="506"/>
      <c r="T61" s="506"/>
      <c r="U61" s="3"/>
      <c r="V61" s="506"/>
      <c r="W61" s="3"/>
      <c r="X61" s="1186"/>
      <c r="Y61" s="1186"/>
      <c r="Z61" s="464"/>
    </row>
    <row r="65" spans="2:25" s="464" customFormat="1" ht="12.75">
      <c r="B65" s="3"/>
      <c r="C65" s="3"/>
      <c r="D65" s="506"/>
      <c r="E65" s="71"/>
      <c r="F65" s="506"/>
      <c r="G65" s="71"/>
      <c r="H65" s="71"/>
      <c r="I65" s="506"/>
      <c r="J65" s="71"/>
      <c r="K65" s="71"/>
      <c r="L65" s="506"/>
      <c r="M65" s="71"/>
      <c r="N65" s="506"/>
      <c r="O65" s="71"/>
      <c r="P65" s="506"/>
      <c r="Q65" s="506"/>
      <c r="R65" s="71"/>
      <c r="S65" s="506"/>
      <c r="T65" s="506"/>
      <c r="U65" s="3"/>
      <c r="V65" s="506"/>
      <c r="W65" s="3"/>
      <c r="X65" s="72"/>
      <c r="Y65" s="72"/>
    </row>
    <row r="67" ht="17.25" customHeight="1"/>
    <row r="68" ht="6.75" customHeight="1"/>
  </sheetData>
  <sheetProtection password="DAD6" sheet="1" formatCells="0" formatColumns="0" formatRows="0" insertColumns="0" insertRows="0" insertHyperlinks="0" deleteColumns="0" deleteRows="0" sort="0" autoFilter="0" pivotTables="0"/>
  <mergeCells count="1">
    <mergeCell ref="E4:U4"/>
  </mergeCells>
  <hyperlinks>
    <hyperlink ref="Z12" location="'Domestic Business Results'!A1" display="Domestic Business Results"/>
    <hyperlink ref="Z13" location="'Domestic Wireline Results'!A1" display="Domestic Wireline Results"/>
    <hyperlink ref="Z14" location="'Domestic Mobile Results'!A1" display="Domestic Mobile Results"/>
    <hyperlink ref="Z15" location="'TIM Brasil Results'!A1" display="TIM Brasil Results"/>
    <hyperlink ref="Z19" location="'Main Group''s Subsidiries'!A1" display="Main Group's Subsidiaries"/>
    <hyperlink ref="Z8" location="'Key fin data by BU YTD'!A1" display="Key Financial data by BU YTD"/>
    <hyperlink ref="Z20" location="'Analyst Tools'!A1" display="Analyst Tools"/>
    <hyperlink ref="Z21" location="'Historic Data'!A1" display="Historic Data"/>
    <hyperlink ref="Z7" location="'P&amp;L Group by quarter'!A1" display="P&amp;L Group by quarter"/>
    <hyperlink ref="Z9" location="'Key fin. data by BU by quarter'!A1" display="Key Financial data by quarter"/>
    <hyperlink ref="Z6" location="'P&amp;L Group YTD'!A1" display="P&amp;L Group YTD"/>
    <hyperlink ref="Z10" location="'Balance Sheet'!A1" display="Balance Sheet"/>
    <hyperlink ref="Z11" location="'Cashflow Statement'!A1" display="Cashflow Statement"/>
    <hyperlink ref="Z16" location="'1Q Rep&amp;org.'!A1" display="Repoerted &amp; Organic figures"/>
    <hyperlink ref="Z17" location="'2Q Rep&amp;org.'!A1" display="Reported &amp; Organic figures 2Q08 vs 2Q07"/>
    <hyperlink ref="Z18" location="'3Q Rep&amp;org.'!A1" display="Reported &amp; Organic figures 3Q08 vs 3Q07"/>
    <hyperlink ref="Z22" location="Cover!A1" display="Cover"/>
  </hyperlinks>
  <printOptions horizontalCentered="1" verticalCentered="1"/>
  <pageMargins left="0" right="0" top="0" bottom="0" header="0.5118110236220472" footer="0.31496062992125984"/>
  <pageSetup horizontalDpi="600" verticalDpi="600" orientation="landscape" paperSize="9" scale="82" r:id="rId3"/>
  <drawing r:id="rId1"/>
  <legacyDrawingHF r:id="rId2"/>
</worksheet>
</file>

<file path=xl/worksheets/sheet13.xml><?xml version="1.0" encoding="utf-8"?>
<worksheet xmlns="http://schemas.openxmlformats.org/spreadsheetml/2006/main" xmlns:r="http://schemas.openxmlformats.org/officeDocument/2006/relationships">
  <sheetPr codeName="Foglio9"/>
  <dimension ref="A1:EJ63"/>
  <sheetViews>
    <sheetView showGridLines="0" zoomScaleSheetLayoutView="100" workbookViewId="0" topLeftCell="B1">
      <selection activeCell="B1" sqref="B1:Y1"/>
    </sheetView>
  </sheetViews>
  <sheetFormatPr defaultColWidth="9.140625" defaultRowHeight="12.75"/>
  <cols>
    <col min="1" max="1" width="0.9921875" style="88" customWidth="1"/>
    <col min="2" max="3" width="2.00390625" style="88" customWidth="1"/>
    <col min="4" max="4" width="26.7109375" style="88" customWidth="1"/>
    <col min="5" max="5" width="12.421875" style="88" customWidth="1"/>
    <col min="6" max="6" width="1.1484375" style="97" customWidth="1"/>
    <col min="7" max="7" width="16.421875" style="97" customWidth="1"/>
    <col min="8" max="8" width="15.8515625" style="97" customWidth="1"/>
    <col min="9" max="9" width="14.57421875" style="97" customWidth="1"/>
    <col min="10" max="10" width="1.1484375" style="97" customWidth="1"/>
    <col min="11" max="11" width="18.57421875" style="97" bestFit="1" customWidth="1"/>
    <col min="12" max="12" width="1.1484375" style="97" customWidth="1"/>
    <col min="13" max="13" width="1.7109375" style="97" customWidth="1"/>
    <col min="14" max="14" width="25.140625" style="97" customWidth="1"/>
    <col min="15" max="15" width="12.421875" style="97" customWidth="1"/>
    <col min="16" max="16" width="1.1484375" style="97" customWidth="1"/>
    <col min="17" max="17" width="27.8515625" style="97" customWidth="1"/>
    <col min="18" max="18" width="1.1484375" style="97" customWidth="1"/>
    <col min="19" max="19" width="16.8515625" style="97" customWidth="1"/>
    <col min="20" max="20" width="2.57421875" style="97" customWidth="1"/>
    <col min="21" max="21" width="14.00390625" style="97" customWidth="1"/>
    <col min="22" max="22" width="3.140625" style="97" customWidth="1"/>
    <col min="23" max="23" width="14.00390625" style="97" customWidth="1"/>
    <col min="24" max="24" width="2.28125" style="97" customWidth="1"/>
    <col min="25" max="25" width="2.28125" style="88" customWidth="1"/>
    <col min="26" max="26" width="3.140625" style="88" customWidth="1"/>
    <col min="27" max="27" width="33.8515625" style="88" bestFit="1" customWidth="1"/>
    <col min="28" max="28" width="1.421875" style="88" customWidth="1"/>
    <col min="29" max="16384" width="9.140625" style="88" customWidth="1"/>
  </cols>
  <sheetData>
    <row r="1" spans="2:27" ht="38.25" customHeight="1">
      <c r="B1" s="1514" t="s">
        <v>197</v>
      </c>
      <c r="C1" s="1515"/>
      <c r="D1" s="1515"/>
      <c r="E1" s="1515"/>
      <c r="F1" s="1515"/>
      <c r="G1" s="1515"/>
      <c r="H1" s="1515"/>
      <c r="I1" s="1515"/>
      <c r="J1" s="1515"/>
      <c r="K1" s="1515"/>
      <c r="L1" s="1515"/>
      <c r="M1" s="1515"/>
      <c r="N1" s="1515"/>
      <c r="O1" s="1515"/>
      <c r="P1" s="1515"/>
      <c r="Q1" s="1515"/>
      <c r="R1" s="1515"/>
      <c r="S1" s="1515"/>
      <c r="T1" s="1515"/>
      <c r="U1" s="1515"/>
      <c r="V1" s="1515"/>
      <c r="W1" s="1515"/>
      <c r="X1" s="1515"/>
      <c r="Y1" s="1516"/>
      <c r="Z1" s="87"/>
      <c r="AA1" s="456"/>
    </row>
    <row r="2" spans="2:27" ht="34.5" customHeight="1" thickBot="1">
      <c r="B2" s="248"/>
      <c r="C2" s="249"/>
      <c r="D2" s="249"/>
      <c r="E2" s="249"/>
      <c r="F2" s="249"/>
      <c r="G2" s="249"/>
      <c r="H2" s="249"/>
      <c r="I2" s="249"/>
      <c r="J2" s="249"/>
      <c r="K2" s="249"/>
      <c r="L2" s="249"/>
      <c r="M2" s="249"/>
      <c r="N2" s="249"/>
      <c r="O2" s="249"/>
      <c r="P2" s="249"/>
      <c r="Q2" s="249"/>
      <c r="R2" s="249"/>
      <c r="S2" s="249"/>
      <c r="T2" s="249"/>
      <c r="U2" s="249"/>
      <c r="V2" s="249"/>
      <c r="W2" s="249"/>
      <c r="X2" s="249"/>
      <c r="Y2" s="250"/>
      <c r="Z2" s="87"/>
      <c r="AA2" s="457"/>
    </row>
    <row r="3" spans="2:27" s="89" customFormat="1" ht="38.25" thickTop="1">
      <c r="B3" s="98"/>
      <c r="C3" s="240"/>
      <c r="D3" s="1487" t="s">
        <v>6</v>
      </c>
      <c r="E3" s="1470"/>
      <c r="F3" s="1470"/>
      <c r="G3" s="1470"/>
      <c r="H3" s="1470"/>
      <c r="I3" s="1470"/>
      <c r="J3" s="1470"/>
      <c r="K3" s="1470"/>
      <c r="L3" s="1471"/>
      <c r="M3" s="236"/>
      <c r="N3" s="1487" t="s">
        <v>339</v>
      </c>
      <c r="O3" s="1470"/>
      <c r="P3" s="1470"/>
      <c r="Q3" s="1470"/>
      <c r="R3" s="1470"/>
      <c r="S3" s="1471"/>
      <c r="T3" s="236"/>
      <c r="U3" s="244" t="s">
        <v>183</v>
      </c>
      <c r="V3" s="246"/>
      <c r="W3" s="244" t="s">
        <v>184</v>
      </c>
      <c r="X3" s="246"/>
      <c r="Y3" s="99"/>
      <c r="AA3" s="459"/>
    </row>
    <row r="4" spans="2:27" s="90" customFormat="1" ht="10.5" customHeight="1">
      <c r="B4" s="369"/>
      <c r="C4" s="370"/>
      <c r="D4" s="1472"/>
      <c r="E4" s="1473"/>
      <c r="F4" s="1473"/>
      <c r="G4" s="1473"/>
      <c r="H4" s="1473"/>
      <c r="I4" s="1473"/>
      <c r="J4" s="1473"/>
      <c r="K4" s="1473"/>
      <c r="L4" s="1513"/>
      <c r="M4" s="237"/>
      <c r="N4" s="1483"/>
      <c r="O4" s="1484"/>
      <c r="P4" s="107"/>
      <c r="Q4" s="108"/>
      <c r="R4" s="107"/>
      <c r="S4" s="238"/>
      <c r="T4" s="237"/>
      <c r="U4" s="241"/>
      <c r="V4" s="237"/>
      <c r="W4" s="241"/>
      <c r="X4" s="237"/>
      <c r="Y4" s="371"/>
      <c r="AA4" s="458"/>
    </row>
    <row r="5" spans="2:27" ht="27">
      <c r="B5" s="185"/>
      <c r="C5" s="111"/>
      <c r="D5" s="1485" t="s">
        <v>332</v>
      </c>
      <c r="E5" s="1486"/>
      <c r="F5" s="239"/>
      <c r="G5" s="1480" t="s">
        <v>177</v>
      </c>
      <c r="H5" s="1481"/>
      <c r="I5" s="1482"/>
      <c r="J5" s="239"/>
      <c r="K5" s="259" t="s">
        <v>180</v>
      </c>
      <c r="L5" s="1192"/>
      <c r="M5" s="239"/>
      <c r="N5" s="1485" t="s">
        <v>179</v>
      </c>
      <c r="O5" s="1486"/>
      <c r="P5" s="239"/>
      <c r="Q5" s="257" t="s">
        <v>215</v>
      </c>
      <c r="R5" s="239"/>
      <c r="S5" s="261" t="s">
        <v>189</v>
      </c>
      <c r="T5" s="239"/>
      <c r="U5" s="262" t="s">
        <v>186</v>
      </c>
      <c r="V5" s="239"/>
      <c r="W5" s="262" t="s">
        <v>181</v>
      </c>
      <c r="X5" s="239"/>
      <c r="Y5" s="202"/>
      <c r="AA5" s="30" t="s">
        <v>59</v>
      </c>
    </row>
    <row r="6" spans="2:27" s="91" customFormat="1" ht="39" customHeight="1">
      <c r="B6" s="441"/>
      <c r="C6" s="100"/>
      <c r="D6" s="541" t="s">
        <v>11</v>
      </c>
      <c r="E6" s="263"/>
      <c r="F6" s="110"/>
      <c r="G6" s="1517" t="s">
        <v>175</v>
      </c>
      <c r="H6" s="1517" t="s">
        <v>174</v>
      </c>
      <c r="I6" s="1517" t="s">
        <v>216</v>
      </c>
      <c r="J6" s="110"/>
      <c r="K6" s="267"/>
      <c r="L6" s="1192"/>
      <c r="M6" s="110"/>
      <c r="N6" s="541"/>
      <c r="O6" s="263"/>
      <c r="P6" s="110"/>
      <c r="Q6" s="897"/>
      <c r="R6" s="110"/>
      <c r="S6" s="267"/>
      <c r="T6" s="110"/>
      <c r="U6" s="242"/>
      <c r="V6" s="110"/>
      <c r="W6" s="242"/>
      <c r="X6" s="110"/>
      <c r="Y6" s="442"/>
      <c r="AA6" s="31" t="s">
        <v>56</v>
      </c>
    </row>
    <row r="7" spans="2:27" ht="15" customHeight="1">
      <c r="B7" s="185"/>
      <c r="C7" s="111"/>
      <c r="D7" s="1519" t="s">
        <v>0</v>
      </c>
      <c r="E7" s="1520"/>
      <c r="F7" s="270"/>
      <c r="G7" s="1518"/>
      <c r="H7" s="1518"/>
      <c r="I7" s="1518"/>
      <c r="J7" s="270"/>
      <c r="K7" s="269"/>
      <c r="L7" s="1193"/>
      <c r="M7" s="234"/>
      <c r="N7" s="1519" t="s">
        <v>0</v>
      </c>
      <c r="O7" s="1520"/>
      <c r="P7" s="234"/>
      <c r="Q7" s="269"/>
      <c r="R7" s="234"/>
      <c r="S7" s="269"/>
      <c r="T7" s="234"/>
      <c r="U7" s="243"/>
      <c r="V7" s="234"/>
      <c r="W7" s="243"/>
      <c r="X7" s="234"/>
      <c r="Y7" s="202"/>
      <c r="AA7" s="139" t="s">
        <v>206</v>
      </c>
    </row>
    <row r="8" spans="2:27" ht="15" customHeight="1">
      <c r="B8" s="185"/>
      <c r="C8" s="111"/>
      <c r="D8" s="542" t="s">
        <v>7</v>
      </c>
      <c r="E8" s="543">
        <v>6009</v>
      </c>
      <c r="F8" s="544"/>
      <c r="G8" s="544"/>
      <c r="H8" s="544">
        <v>-8</v>
      </c>
      <c r="I8" s="546"/>
      <c r="J8" s="544"/>
      <c r="K8" s="546">
        <v>6001</v>
      </c>
      <c r="L8" s="547"/>
      <c r="M8" s="548"/>
      <c r="N8" s="542" t="s">
        <v>7</v>
      </c>
      <c r="O8" s="543">
        <v>5619</v>
      </c>
      <c r="P8" s="548"/>
      <c r="Q8" s="546"/>
      <c r="R8" s="548"/>
      <c r="S8" s="546">
        <v>5619</v>
      </c>
      <c r="T8" s="548"/>
      <c r="U8" s="549">
        <v>-0.06490264603095353</v>
      </c>
      <c r="V8" s="548"/>
      <c r="W8" s="549">
        <v>-0.06365605732377932</v>
      </c>
      <c r="X8" s="548"/>
      <c r="Y8" s="898"/>
      <c r="AA8" s="139" t="s">
        <v>208</v>
      </c>
    </row>
    <row r="9" spans="2:27" ht="15" customHeight="1">
      <c r="B9" s="185"/>
      <c r="C9" s="111"/>
      <c r="D9" s="550" t="s">
        <v>145</v>
      </c>
      <c r="E9" s="551">
        <v>3989</v>
      </c>
      <c r="F9" s="552"/>
      <c r="G9" s="552"/>
      <c r="H9" s="552">
        <v>-8</v>
      </c>
      <c r="I9" s="554"/>
      <c r="J9" s="552"/>
      <c r="K9" s="554">
        <v>3981</v>
      </c>
      <c r="L9" s="555"/>
      <c r="M9" s="548"/>
      <c r="N9" s="550" t="s">
        <v>145</v>
      </c>
      <c r="O9" s="551">
        <v>3746</v>
      </c>
      <c r="P9" s="548"/>
      <c r="Q9" s="554"/>
      <c r="R9" s="548"/>
      <c r="S9" s="554">
        <v>3746</v>
      </c>
      <c r="T9" s="548"/>
      <c r="U9" s="556">
        <v>-0.060917523188769085</v>
      </c>
      <c r="V9" s="548"/>
      <c r="W9" s="556">
        <v>-0.059030394373273065</v>
      </c>
      <c r="X9" s="548"/>
      <c r="Y9" s="898"/>
      <c r="AA9" s="139" t="s">
        <v>207</v>
      </c>
    </row>
    <row r="10" spans="2:27" ht="15" customHeight="1">
      <c r="B10" s="185"/>
      <c r="C10" s="111"/>
      <c r="D10" s="550" t="s">
        <v>130</v>
      </c>
      <c r="E10" s="551">
        <v>2365</v>
      </c>
      <c r="F10" s="552"/>
      <c r="G10" s="552"/>
      <c r="H10" s="552"/>
      <c r="I10" s="554"/>
      <c r="J10" s="552"/>
      <c r="K10" s="554">
        <v>2365</v>
      </c>
      <c r="L10" s="555"/>
      <c r="M10" s="548"/>
      <c r="N10" s="550" t="s">
        <v>130</v>
      </c>
      <c r="O10" s="551">
        <v>2236</v>
      </c>
      <c r="P10" s="548"/>
      <c r="Q10" s="554"/>
      <c r="R10" s="548"/>
      <c r="S10" s="554">
        <v>2236</v>
      </c>
      <c r="T10" s="548"/>
      <c r="U10" s="556">
        <v>-0.054545454545454564</v>
      </c>
      <c r="V10" s="548"/>
      <c r="W10" s="556">
        <v>-0.054545454545454564</v>
      </c>
      <c r="X10" s="548"/>
      <c r="Y10" s="898"/>
      <c r="AA10" s="139" t="s">
        <v>223</v>
      </c>
    </row>
    <row r="11" spans="2:27" ht="15" customHeight="1">
      <c r="B11" s="185"/>
      <c r="C11" s="111"/>
      <c r="D11" s="557" t="s">
        <v>8</v>
      </c>
      <c r="E11" s="558">
        <v>216</v>
      </c>
      <c r="F11" s="552"/>
      <c r="G11" s="552">
        <v>68</v>
      </c>
      <c r="H11" s="552"/>
      <c r="I11" s="560"/>
      <c r="J11" s="552"/>
      <c r="K11" s="554">
        <v>284</v>
      </c>
      <c r="L11" s="555"/>
      <c r="M11" s="548"/>
      <c r="N11" s="557" t="s">
        <v>8</v>
      </c>
      <c r="O11" s="558">
        <v>323</v>
      </c>
      <c r="P11" s="548"/>
      <c r="Q11" s="560"/>
      <c r="R11" s="548"/>
      <c r="S11" s="554">
        <v>323</v>
      </c>
      <c r="T11" s="548"/>
      <c r="U11" s="556">
        <v>0.49537037037037046</v>
      </c>
      <c r="V11" s="548"/>
      <c r="W11" s="556">
        <v>0.13732394366197176</v>
      </c>
      <c r="X11" s="548"/>
      <c r="Y11" s="202"/>
      <c r="AA11" s="139" t="s">
        <v>310</v>
      </c>
    </row>
    <row r="12" spans="2:27" ht="15" customHeight="1">
      <c r="B12" s="185"/>
      <c r="C12" s="111"/>
      <c r="D12" s="557" t="s">
        <v>31</v>
      </c>
      <c r="E12" s="558">
        <v>1100</v>
      </c>
      <c r="F12" s="552"/>
      <c r="G12" s="552"/>
      <c r="H12" s="552">
        <v>72</v>
      </c>
      <c r="I12" s="560"/>
      <c r="J12" s="552"/>
      <c r="K12" s="554">
        <v>1172</v>
      </c>
      <c r="L12" s="555"/>
      <c r="M12" s="548"/>
      <c r="N12" s="557" t="s">
        <v>31</v>
      </c>
      <c r="O12" s="558">
        <v>1224</v>
      </c>
      <c r="P12" s="548"/>
      <c r="Q12" s="560"/>
      <c r="R12" s="548"/>
      <c r="S12" s="554">
        <v>1224</v>
      </c>
      <c r="T12" s="548"/>
      <c r="U12" s="556">
        <v>0.11272727272727279</v>
      </c>
      <c r="V12" s="548"/>
      <c r="W12" s="556">
        <v>0.04436860068259385</v>
      </c>
      <c r="X12" s="548"/>
      <c r="Y12" s="202"/>
      <c r="AA12" s="139" t="s">
        <v>311</v>
      </c>
    </row>
    <row r="13" spans="2:27" ht="15" customHeight="1">
      <c r="B13" s="185"/>
      <c r="C13" s="111"/>
      <c r="D13" s="557" t="s">
        <v>89</v>
      </c>
      <c r="E13" s="558">
        <v>58</v>
      </c>
      <c r="F13" s="552"/>
      <c r="G13" s="552"/>
      <c r="H13" s="552"/>
      <c r="I13" s="560"/>
      <c r="J13" s="552"/>
      <c r="K13" s="554">
        <v>58</v>
      </c>
      <c r="L13" s="555"/>
      <c r="M13" s="548"/>
      <c r="N13" s="557" t="s">
        <v>89</v>
      </c>
      <c r="O13" s="558">
        <v>74</v>
      </c>
      <c r="P13" s="548"/>
      <c r="Q13" s="560"/>
      <c r="R13" s="548"/>
      <c r="S13" s="554">
        <v>74</v>
      </c>
      <c r="T13" s="548"/>
      <c r="U13" s="556">
        <v>0.27586206896551735</v>
      </c>
      <c r="V13" s="548"/>
      <c r="W13" s="556">
        <v>0.27586206896551735</v>
      </c>
      <c r="X13" s="548"/>
      <c r="Y13" s="202"/>
      <c r="AA13" s="139" t="s">
        <v>12</v>
      </c>
    </row>
    <row r="14" spans="2:27" ht="15" customHeight="1">
      <c r="B14" s="185"/>
      <c r="C14" s="111"/>
      <c r="D14" s="557" t="s">
        <v>9</v>
      </c>
      <c r="E14" s="558">
        <v>83</v>
      </c>
      <c r="F14" s="552"/>
      <c r="G14" s="552">
        <v>-3</v>
      </c>
      <c r="H14" s="552">
        <v>-2</v>
      </c>
      <c r="I14" s="560"/>
      <c r="J14" s="552"/>
      <c r="K14" s="554">
        <v>78</v>
      </c>
      <c r="L14" s="555"/>
      <c r="M14" s="548"/>
      <c r="N14" s="557" t="s">
        <v>9</v>
      </c>
      <c r="O14" s="558">
        <v>83</v>
      </c>
      <c r="P14" s="548"/>
      <c r="Q14" s="560"/>
      <c r="R14" s="548"/>
      <c r="S14" s="554">
        <v>83</v>
      </c>
      <c r="T14" s="548"/>
      <c r="U14" s="556">
        <v>0</v>
      </c>
      <c r="V14" s="548"/>
      <c r="W14" s="556">
        <v>0.0641025641025641</v>
      </c>
      <c r="X14" s="548"/>
      <c r="Y14" s="202"/>
      <c r="AA14" s="139" t="s">
        <v>220</v>
      </c>
    </row>
    <row r="15" spans="2:27" ht="15" customHeight="1">
      <c r="B15" s="185"/>
      <c r="C15" s="111"/>
      <c r="D15" s="557" t="s">
        <v>187</v>
      </c>
      <c r="E15" s="558">
        <v>60</v>
      </c>
      <c r="F15" s="552"/>
      <c r="G15" s="552"/>
      <c r="H15" s="552">
        <v>-5</v>
      </c>
      <c r="I15" s="560"/>
      <c r="J15" s="552"/>
      <c r="K15" s="554">
        <v>55</v>
      </c>
      <c r="L15" s="555"/>
      <c r="M15" s="548"/>
      <c r="N15" s="557" t="s">
        <v>187</v>
      </c>
      <c r="O15" s="558">
        <v>76</v>
      </c>
      <c r="P15" s="548"/>
      <c r="Q15" s="560"/>
      <c r="R15" s="548"/>
      <c r="S15" s="554">
        <v>76</v>
      </c>
      <c r="T15" s="548"/>
      <c r="U15" s="556">
        <v>0.2666666666666666</v>
      </c>
      <c r="V15" s="548"/>
      <c r="W15" s="556">
        <v>0.38181818181818183</v>
      </c>
      <c r="X15" s="548"/>
      <c r="Y15" s="202"/>
      <c r="AA15" s="139" t="s">
        <v>221</v>
      </c>
    </row>
    <row r="16" spans="2:27" ht="15" customHeight="1">
      <c r="B16" s="185"/>
      <c r="C16" s="111"/>
      <c r="D16" s="557" t="s">
        <v>188</v>
      </c>
      <c r="E16" s="561">
        <v>-51</v>
      </c>
      <c r="F16" s="552"/>
      <c r="G16" s="552">
        <v>2</v>
      </c>
      <c r="H16" s="552"/>
      <c r="I16" s="560"/>
      <c r="J16" s="552"/>
      <c r="K16" s="554">
        <v>-49</v>
      </c>
      <c r="L16" s="555"/>
      <c r="M16" s="548"/>
      <c r="N16" s="557" t="s">
        <v>188</v>
      </c>
      <c r="O16" s="561">
        <v>-101</v>
      </c>
      <c r="P16" s="548"/>
      <c r="Q16" s="560"/>
      <c r="R16" s="548"/>
      <c r="S16" s="554">
        <v>-101</v>
      </c>
      <c r="T16" s="548"/>
      <c r="U16" s="556">
        <v>0.9803921568627452</v>
      </c>
      <c r="V16" s="548"/>
      <c r="W16" s="556"/>
      <c r="X16" s="548"/>
      <c r="Y16" s="202"/>
      <c r="AA16" s="139" t="s">
        <v>222</v>
      </c>
    </row>
    <row r="17" spans="2:27" ht="15" customHeight="1">
      <c r="B17" s="185"/>
      <c r="C17" s="111"/>
      <c r="D17" s="272" t="s">
        <v>10</v>
      </c>
      <c r="E17" s="273">
        <v>7475</v>
      </c>
      <c r="F17" s="562"/>
      <c r="G17" s="275">
        <f>+SUM(G9:G16)</f>
        <v>67</v>
      </c>
      <c r="H17" s="275">
        <f>+SUM(H9:H16)</f>
        <v>57</v>
      </c>
      <c r="I17" s="274"/>
      <c r="J17" s="562"/>
      <c r="K17" s="274">
        <f>+E17+G17+H17</f>
        <v>7599</v>
      </c>
      <c r="L17" s="555"/>
      <c r="M17" s="548"/>
      <c r="N17" s="272" t="s">
        <v>10</v>
      </c>
      <c r="O17" s="273">
        <v>7298</v>
      </c>
      <c r="P17" s="548"/>
      <c r="Q17" s="274"/>
      <c r="R17" s="548"/>
      <c r="S17" s="274">
        <v>7298</v>
      </c>
      <c r="T17" s="548"/>
      <c r="U17" s="277">
        <v>-0.02367892976588626</v>
      </c>
      <c r="V17" s="548"/>
      <c r="W17" s="277">
        <v>-0.039610475062508255</v>
      </c>
      <c r="X17" s="548"/>
      <c r="Y17" s="202"/>
      <c r="AA17" s="139" t="s">
        <v>8</v>
      </c>
    </row>
    <row r="18" spans="2:27" ht="12.75">
      <c r="B18" s="185"/>
      <c r="C18" s="111"/>
      <c r="D18" s="564"/>
      <c r="E18" s="565"/>
      <c r="F18" s="548"/>
      <c r="G18" s="566"/>
      <c r="H18" s="566"/>
      <c r="I18" s="566"/>
      <c r="J18" s="548"/>
      <c r="K18" s="566"/>
      <c r="L18" s="568"/>
      <c r="M18" s="100"/>
      <c r="N18" s="564"/>
      <c r="O18" s="565"/>
      <c r="P18" s="548"/>
      <c r="Q18" s="566"/>
      <c r="R18" s="548"/>
      <c r="S18" s="566"/>
      <c r="T18" s="100"/>
      <c r="U18" s="569"/>
      <c r="V18" s="100"/>
      <c r="W18" s="569"/>
      <c r="X18" s="100"/>
      <c r="Y18" s="202"/>
      <c r="AA18" s="139" t="s">
        <v>535</v>
      </c>
    </row>
    <row r="19" spans="2:27" ht="15" customHeight="1">
      <c r="B19" s="185"/>
      <c r="C19" s="111"/>
      <c r="D19" s="258" t="s">
        <v>45</v>
      </c>
      <c r="E19" s="376"/>
      <c r="F19" s="234"/>
      <c r="G19" s="279"/>
      <c r="H19" s="279"/>
      <c r="I19" s="377"/>
      <c r="J19" s="234"/>
      <c r="K19" s="377"/>
      <c r="L19" s="378"/>
      <c r="M19" s="234"/>
      <c r="N19" s="258" t="s">
        <v>45</v>
      </c>
      <c r="O19" s="376"/>
      <c r="P19" s="234"/>
      <c r="Q19" s="377"/>
      <c r="R19" s="234"/>
      <c r="S19" s="377"/>
      <c r="T19" s="234"/>
      <c r="U19" s="243"/>
      <c r="V19" s="234"/>
      <c r="W19" s="243"/>
      <c r="X19" s="234"/>
      <c r="Y19" s="202"/>
      <c r="AA19" s="139" t="s">
        <v>545</v>
      </c>
    </row>
    <row r="20" spans="2:27" ht="15" customHeight="1">
      <c r="B20" s="185"/>
      <c r="C20" s="111"/>
      <c r="D20" s="542" t="s">
        <v>7</v>
      </c>
      <c r="E20" s="543">
        <v>2853</v>
      </c>
      <c r="F20" s="573"/>
      <c r="G20" s="544">
        <v>2</v>
      </c>
      <c r="H20" s="544">
        <v>-2</v>
      </c>
      <c r="I20" s="544"/>
      <c r="J20" s="573"/>
      <c r="K20" s="544">
        <v>2853</v>
      </c>
      <c r="L20" s="575"/>
      <c r="M20" s="548"/>
      <c r="N20" s="542" t="s">
        <v>7</v>
      </c>
      <c r="O20" s="543">
        <v>2667</v>
      </c>
      <c r="P20" s="548"/>
      <c r="Q20" s="544">
        <v>12</v>
      </c>
      <c r="R20" s="548"/>
      <c r="S20" s="544">
        <v>2679</v>
      </c>
      <c r="T20" s="548"/>
      <c r="U20" s="549">
        <v>-0.06519453207150372</v>
      </c>
      <c r="V20" s="548"/>
      <c r="W20" s="549">
        <v>-0.060988433228180816</v>
      </c>
      <c r="X20" s="548"/>
      <c r="Y20" s="898"/>
      <c r="AA20" s="139" t="s">
        <v>109</v>
      </c>
    </row>
    <row r="21" spans="2:27" ht="15" customHeight="1">
      <c r="B21" s="185"/>
      <c r="C21" s="111"/>
      <c r="D21" s="557" t="s">
        <v>8</v>
      </c>
      <c r="E21" s="558">
        <v>54</v>
      </c>
      <c r="F21" s="548"/>
      <c r="G21" s="552">
        <v>7</v>
      </c>
      <c r="H21" s="552"/>
      <c r="I21" s="552"/>
      <c r="J21" s="548"/>
      <c r="K21" s="552">
        <v>61</v>
      </c>
      <c r="L21" s="575"/>
      <c r="M21" s="575"/>
      <c r="N21" s="557" t="s">
        <v>8</v>
      </c>
      <c r="O21" s="558">
        <v>61</v>
      </c>
      <c r="P21" s="548"/>
      <c r="Q21" s="552"/>
      <c r="R21" s="548"/>
      <c r="S21" s="552">
        <v>61</v>
      </c>
      <c r="T21" s="548"/>
      <c r="U21" s="556"/>
      <c r="V21" s="548"/>
      <c r="W21" s="556">
        <v>0</v>
      </c>
      <c r="X21" s="548"/>
      <c r="Y21" s="898"/>
      <c r="AA21" s="139" t="s">
        <v>157</v>
      </c>
    </row>
    <row r="22" spans="2:27" ht="15" customHeight="1">
      <c r="B22" s="185"/>
      <c r="C22" s="111"/>
      <c r="D22" s="557" t="s">
        <v>31</v>
      </c>
      <c r="E22" s="558">
        <v>269</v>
      </c>
      <c r="F22" s="548"/>
      <c r="G22" s="577"/>
      <c r="H22" s="552">
        <v>14</v>
      </c>
      <c r="I22" s="552"/>
      <c r="J22" s="548"/>
      <c r="K22" s="552">
        <v>283</v>
      </c>
      <c r="L22" s="575"/>
      <c r="M22" s="575"/>
      <c r="N22" s="557" t="s">
        <v>31</v>
      </c>
      <c r="O22" s="558">
        <v>242</v>
      </c>
      <c r="P22" s="548"/>
      <c r="Q22" s="552"/>
      <c r="R22" s="548"/>
      <c r="S22" s="552">
        <v>242</v>
      </c>
      <c r="T22" s="548"/>
      <c r="U22" s="556">
        <v>-0.1003717472118959</v>
      </c>
      <c r="V22" s="548"/>
      <c r="W22" s="556">
        <v>-0.14487632508833925</v>
      </c>
      <c r="X22" s="548"/>
      <c r="Y22" s="898"/>
      <c r="AA22" s="1469" t="s">
        <v>382</v>
      </c>
    </row>
    <row r="23" spans="2:140" ht="15" customHeight="1">
      <c r="B23" s="185"/>
      <c r="C23" s="111"/>
      <c r="D23" s="557" t="s">
        <v>89</v>
      </c>
      <c r="E23" s="561">
        <v>-11</v>
      </c>
      <c r="F23" s="548"/>
      <c r="G23" s="577"/>
      <c r="H23" s="552"/>
      <c r="I23" s="552"/>
      <c r="J23" s="548"/>
      <c r="K23" s="552">
        <v>-11</v>
      </c>
      <c r="L23" s="380"/>
      <c r="M23" s="380"/>
      <c r="N23" s="557" t="s">
        <v>89</v>
      </c>
      <c r="O23" s="561">
        <v>-21</v>
      </c>
      <c r="P23" s="548"/>
      <c r="Q23" s="552"/>
      <c r="R23" s="548"/>
      <c r="S23" s="552">
        <v>-21</v>
      </c>
      <c r="T23" s="379"/>
      <c r="U23" s="556">
        <v>-0.9090909090909092</v>
      </c>
      <c r="V23" s="379"/>
      <c r="W23" s="556">
        <v>-0.9090909090909092</v>
      </c>
      <c r="X23" s="379"/>
      <c r="Y23" s="898"/>
      <c r="AA23" s="162" t="s">
        <v>312</v>
      </c>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row>
    <row r="24" spans="2:140" ht="15" customHeight="1">
      <c r="B24" s="185"/>
      <c r="C24" s="111"/>
      <c r="D24" s="557" t="s">
        <v>9</v>
      </c>
      <c r="E24" s="561">
        <v>-10</v>
      </c>
      <c r="F24" s="548"/>
      <c r="G24" s="552">
        <v>-2</v>
      </c>
      <c r="H24" s="552">
        <v>-2</v>
      </c>
      <c r="I24" s="552"/>
      <c r="J24" s="548"/>
      <c r="K24" s="552">
        <v>-14</v>
      </c>
      <c r="L24" s="575"/>
      <c r="M24" s="575"/>
      <c r="N24" s="557" t="s">
        <v>9</v>
      </c>
      <c r="O24" s="561">
        <v>-7</v>
      </c>
      <c r="P24" s="548"/>
      <c r="Q24" s="552"/>
      <c r="R24" s="548"/>
      <c r="S24" s="552">
        <v>-7</v>
      </c>
      <c r="T24" s="548"/>
      <c r="U24" s="556">
        <v>0.3</v>
      </c>
      <c r="V24" s="548"/>
      <c r="W24" s="556">
        <v>0.5</v>
      </c>
      <c r="X24" s="548"/>
      <c r="Y24" s="898"/>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row>
    <row r="25" spans="1:140" ht="15" customHeight="1">
      <c r="A25" s="571"/>
      <c r="B25" s="185"/>
      <c r="C25" s="111"/>
      <c r="D25" s="557" t="s">
        <v>187</v>
      </c>
      <c r="E25" s="558">
        <v>23</v>
      </c>
      <c r="F25" s="548"/>
      <c r="G25" s="577"/>
      <c r="H25" s="552">
        <v>-2</v>
      </c>
      <c r="I25" s="552"/>
      <c r="J25" s="548"/>
      <c r="K25" s="552">
        <v>21</v>
      </c>
      <c r="L25" s="575"/>
      <c r="M25" s="575"/>
      <c r="N25" s="557" t="s">
        <v>187</v>
      </c>
      <c r="O25" s="558">
        <v>26</v>
      </c>
      <c r="P25" s="548"/>
      <c r="Q25" s="552"/>
      <c r="R25" s="548"/>
      <c r="S25" s="552">
        <v>26</v>
      </c>
      <c r="T25" s="548"/>
      <c r="U25" s="556">
        <v>0.13043478260869557</v>
      </c>
      <c r="V25" s="548"/>
      <c r="W25" s="556">
        <v>0.23809523809523814</v>
      </c>
      <c r="X25" s="548"/>
      <c r="Y25" s="898"/>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row>
    <row r="26" spans="1:140" ht="15" customHeight="1">
      <c r="A26" s="571"/>
      <c r="B26" s="185"/>
      <c r="C26" s="111"/>
      <c r="D26" s="619" t="s">
        <v>188</v>
      </c>
      <c r="E26" s="561">
        <v>0</v>
      </c>
      <c r="F26" s="548"/>
      <c r="G26" s="577"/>
      <c r="H26" s="552"/>
      <c r="I26" s="552"/>
      <c r="J26" s="548"/>
      <c r="K26" s="552">
        <v>0</v>
      </c>
      <c r="L26" s="575"/>
      <c r="M26" s="575"/>
      <c r="N26" s="619" t="s">
        <v>188</v>
      </c>
      <c r="O26" s="561">
        <v>-2</v>
      </c>
      <c r="P26" s="548"/>
      <c r="Q26" s="552"/>
      <c r="R26" s="548"/>
      <c r="S26" s="552">
        <v>-2</v>
      </c>
      <c r="T26" s="548"/>
      <c r="U26" s="556"/>
      <c r="V26" s="548"/>
      <c r="W26" s="556"/>
      <c r="X26" s="548"/>
      <c r="Y26" s="898"/>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row>
    <row r="27" spans="1:140" ht="15" customHeight="1">
      <c r="A27" s="571"/>
      <c r="B27" s="185"/>
      <c r="C27" s="111"/>
      <c r="D27" s="272" t="s">
        <v>10</v>
      </c>
      <c r="E27" s="273">
        <v>3178</v>
      </c>
      <c r="F27" s="579"/>
      <c r="G27" s="274">
        <f>+SUM(G20:G26)</f>
        <v>7</v>
      </c>
      <c r="H27" s="274">
        <f>+SUM(H20:H26)</f>
        <v>8</v>
      </c>
      <c r="I27" s="275"/>
      <c r="J27" s="579"/>
      <c r="K27" s="275">
        <f>+E27+G27+H27</f>
        <v>3193</v>
      </c>
      <c r="L27" s="575"/>
      <c r="M27" s="575"/>
      <c r="N27" s="272" t="s">
        <v>10</v>
      </c>
      <c r="O27" s="273">
        <v>2966</v>
      </c>
      <c r="P27" s="548"/>
      <c r="Q27" s="275">
        <v>12</v>
      </c>
      <c r="R27" s="548"/>
      <c r="S27" s="275">
        <v>2978</v>
      </c>
      <c r="T27" s="548"/>
      <c r="U27" s="277">
        <v>-0.06670862177470105</v>
      </c>
      <c r="V27" s="548"/>
      <c r="W27" s="277">
        <v>-0.06733479486376448</v>
      </c>
      <c r="X27" s="548"/>
      <c r="Y27" s="202"/>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row>
    <row r="28" spans="1:140" s="668" customFormat="1" ht="15" customHeight="1">
      <c r="A28" s="571"/>
      <c r="B28" s="185"/>
      <c r="C28" s="568"/>
      <c r="D28" s="581"/>
      <c r="E28" s="561"/>
      <c r="F28" s="548"/>
      <c r="G28" s="577"/>
      <c r="H28" s="577"/>
      <c r="I28" s="552"/>
      <c r="J28" s="548"/>
      <c r="K28" s="552"/>
      <c r="L28" s="575"/>
      <c r="M28" s="575"/>
      <c r="N28" s="581"/>
      <c r="O28" s="561"/>
      <c r="P28" s="573"/>
      <c r="Q28" s="552"/>
      <c r="R28" s="573"/>
      <c r="S28" s="552"/>
      <c r="T28" s="548"/>
      <c r="U28" s="578"/>
      <c r="V28" s="548"/>
      <c r="W28" s="578"/>
      <c r="X28" s="548"/>
      <c r="Y28" s="202"/>
      <c r="Z28" s="95"/>
      <c r="AA28" s="88"/>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row>
    <row r="29" spans="1:140" ht="15" customHeight="1">
      <c r="A29" s="571"/>
      <c r="B29" s="185"/>
      <c r="C29" s="111"/>
      <c r="D29" s="258" t="s">
        <v>67</v>
      </c>
      <c r="E29" s="583"/>
      <c r="F29" s="548"/>
      <c r="G29" s="577"/>
      <c r="H29" s="577"/>
      <c r="I29" s="552"/>
      <c r="J29" s="548"/>
      <c r="K29" s="552"/>
      <c r="L29" s="575"/>
      <c r="M29" s="575"/>
      <c r="N29" s="258" t="s">
        <v>67</v>
      </c>
      <c r="O29" s="583"/>
      <c r="P29" s="548"/>
      <c r="Q29" s="552"/>
      <c r="R29" s="548"/>
      <c r="S29" s="552"/>
      <c r="T29" s="548"/>
      <c r="U29" s="578"/>
      <c r="V29" s="548"/>
      <c r="W29" s="578"/>
      <c r="X29" s="548"/>
      <c r="Y29" s="202"/>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row>
    <row r="30" spans="1:140" ht="15" customHeight="1">
      <c r="A30" s="571"/>
      <c r="B30" s="185"/>
      <c r="C30" s="111"/>
      <c r="D30" s="542" t="s">
        <v>7</v>
      </c>
      <c r="E30" s="584">
        <v>0.4747878182725911</v>
      </c>
      <c r="F30" s="573"/>
      <c r="G30" s="585"/>
      <c r="H30" s="585"/>
      <c r="I30" s="544"/>
      <c r="J30" s="573"/>
      <c r="K30" s="586">
        <v>0.4754207632061323</v>
      </c>
      <c r="L30" s="575"/>
      <c r="M30" s="575"/>
      <c r="N30" s="542" t="s">
        <v>7</v>
      </c>
      <c r="O30" s="584">
        <v>0.47463961558996265</v>
      </c>
      <c r="P30" s="548"/>
      <c r="Q30" s="544"/>
      <c r="R30" s="548"/>
      <c r="S30" s="586">
        <v>0.4767752269087026</v>
      </c>
      <c r="T30" s="548"/>
      <c r="U30" s="587">
        <v>-0.014820268262843994</v>
      </c>
      <c r="V30" s="548"/>
      <c r="W30" s="587">
        <f aca="true" t="shared" si="0" ref="W30:W35">+(S30-K30)*100</f>
        <v>0.13544637025703077</v>
      </c>
      <c r="X30" s="548"/>
      <c r="Y30" s="202"/>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row>
    <row r="31" spans="2:25" ht="15" customHeight="1">
      <c r="B31" s="185"/>
      <c r="C31" s="111"/>
      <c r="D31" s="557" t="s">
        <v>8</v>
      </c>
      <c r="E31" s="588">
        <v>0.25</v>
      </c>
      <c r="F31" s="548"/>
      <c r="G31" s="577"/>
      <c r="H31" s="577"/>
      <c r="I31" s="552"/>
      <c r="J31" s="548"/>
      <c r="K31" s="589">
        <v>0.2147887323943662</v>
      </c>
      <c r="L31" s="575"/>
      <c r="M31" s="548"/>
      <c r="N31" s="557" t="s">
        <v>8</v>
      </c>
      <c r="O31" s="588">
        <v>0.18885448916408668</v>
      </c>
      <c r="P31" s="548"/>
      <c r="Q31" s="552"/>
      <c r="R31" s="548"/>
      <c r="S31" s="589">
        <v>0.18885448916408668</v>
      </c>
      <c r="T31" s="548"/>
      <c r="U31" s="590">
        <v>-6.114551083591333</v>
      </c>
      <c r="V31" s="548"/>
      <c r="W31" s="590">
        <f t="shared" si="0"/>
        <v>-2.5934243230279512</v>
      </c>
      <c r="X31" s="548"/>
      <c r="Y31" s="202"/>
    </row>
    <row r="32" spans="2:25" ht="15" customHeight="1">
      <c r="B32" s="185"/>
      <c r="C32" s="111"/>
      <c r="D32" s="557" t="s">
        <v>31</v>
      </c>
      <c r="E32" s="588">
        <v>0.24454545454545454</v>
      </c>
      <c r="F32" s="379"/>
      <c r="G32" s="280"/>
      <c r="H32" s="280"/>
      <c r="I32" s="383"/>
      <c r="J32" s="379"/>
      <c r="K32" s="589">
        <v>0.24146757679180889</v>
      </c>
      <c r="L32" s="380"/>
      <c r="M32" s="379"/>
      <c r="N32" s="557" t="s">
        <v>31</v>
      </c>
      <c r="O32" s="588">
        <v>0.1977124183006536</v>
      </c>
      <c r="P32" s="379"/>
      <c r="Q32" s="383"/>
      <c r="R32" s="379"/>
      <c r="S32" s="589">
        <v>0.1977124183006536</v>
      </c>
      <c r="T32" s="379"/>
      <c r="U32" s="590">
        <v>-4.683303624480095</v>
      </c>
      <c r="V32" s="379"/>
      <c r="W32" s="590">
        <f t="shared" si="0"/>
        <v>-4.37551584911553</v>
      </c>
      <c r="X32" s="379"/>
      <c r="Y32" s="202"/>
    </row>
    <row r="33" spans="2:25" ht="15" customHeight="1">
      <c r="B33" s="185"/>
      <c r="C33" s="111"/>
      <c r="D33" s="557" t="s">
        <v>89</v>
      </c>
      <c r="E33" s="588">
        <v>-0.1896551724137931</v>
      </c>
      <c r="F33" s="379"/>
      <c r="G33" s="280"/>
      <c r="H33" s="280"/>
      <c r="I33" s="383"/>
      <c r="J33" s="379"/>
      <c r="K33" s="589">
        <v>-0.1896551724137931</v>
      </c>
      <c r="L33" s="380"/>
      <c r="M33" s="379"/>
      <c r="N33" s="557" t="s">
        <v>89</v>
      </c>
      <c r="O33" s="588">
        <v>-0.28378378378378377</v>
      </c>
      <c r="P33" s="379"/>
      <c r="Q33" s="383"/>
      <c r="R33" s="379"/>
      <c r="S33" s="589">
        <v>-0.28378378378378377</v>
      </c>
      <c r="T33" s="379"/>
      <c r="U33" s="590">
        <v>-9.412861136999068</v>
      </c>
      <c r="V33" s="379"/>
      <c r="W33" s="590">
        <f t="shared" si="0"/>
        <v>-9.412861136999068</v>
      </c>
      <c r="X33" s="379"/>
      <c r="Y33" s="202"/>
    </row>
    <row r="34" spans="2:25" ht="15" customHeight="1">
      <c r="B34" s="185"/>
      <c r="C34" s="111"/>
      <c r="D34" s="557" t="s">
        <v>9</v>
      </c>
      <c r="E34" s="588">
        <v>-0.12048192771084337</v>
      </c>
      <c r="F34" s="379"/>
      <c r="G34" s="280"/>
      <c r="H34" s="280"/>
      <c r="I34" s="383"/>
      <c r="J34" s="379"/>
      <c r="K34" s="589">
        <v>-0.1794871794871795</v>
      </c>
      <c r="L34" s="380"/>
      <c r="M34" s="379"/>
      <c r="N34" s="557" t="s">
        <v>9</v>
      </c>
      <c r="O34" s="588">
        <v>-0.08433734939759036</v>
      </c>
      <c r="P34" s="379"/>
      <c r="Q34" s="383"/>
      <c r="R34" s="379"/>
      <c r="S34" s="589">
        <v>-0.08433734939759036</v>
      </c>
      <c r="T34" s="379"/>
      <c r="U34" s="590">
        <v>3.6144578313253017</v>
      </c>
      <c r="V34" s="379"/>
      <c r="W34" s="590">
        <f t="shared" si="0"/>
        <v>9.514983008958913</v>
      </c>
      <c r="X34" s="379"/>
      <c r="Y34" s="202"/>
    </row>
    <row r="35" spans="2:25" ht="12.75">
      <c r="B35" s="185"/>
      <c r="C35" s="111"/>
      <c r="D35" s="272" t="s">
        <v>10</v>
      </c>
      <c r="E35" s="281">
        <v>0.4251505016722408</v>
      </c>
      <c r="F35" s="592"/>
      <c r="G35" s="593"/>
      <c r="H35" s="593"/>
      <c r="I35" s="593"/>
      <c r="J35" s="592"/>
      <c r="K35" s="282">
        <v>0.42018686669298594</v>
      </c>
      <c r="L35" s="595"/>
      <c r="M35" s="100"/>
      <c r="N35" s="272" t="s">
        <v>10</v>
      </c>
      <c r="O35" s="281">
        <v>0.4064127158125514</v>
      </c>
      <c r="P35" s="100"/>
      <c r="Q35" s="593"/>
      <c r="R35" s="100"/>
      <c r="S35" s="282">
        <v>0.4080570019183338</v>
      </c>
      <c r="T35" s="100"/>
      <c r="U35" s="596">
        <v>-1.8737785859689382</v>
      </c>
      <c r="V35" s="100"/>
      <c r="W35" s="596">
        <f t="shared" si="0"/>
        <v>-1.2129864774652166</v>
      </c>
      <c r="X35" s="100"/>
      <c r="Y35" s="202"/>
    </row>
    <row r="36" spans="2:25" ht="6.75" customHeight="1">
      <c r="B36" s="185"/>
      <c r="C36" s="111"/>
      <c r="D36" s="283"/>
      <c r="E36" s="284"/>
      <c r="F36" s="100"/>
      <c r="G36" s="597"/>
      <c r="H36" s="597"/>
      <c r="I36" s="597"/>
      <c r="J36" s="100"/>
      <c r="K36" s="597"/>
      <c r="L36" s="595"/>
      <c r="M36" s="100"/>
      <c r="N36" s="283"/>
      <c r="O36" s="284"/>
      <c r="P36" s="100"/>
      <c r="Q36" s="597"/>
      <c r="R36" s="100"/>
      <c r="S36" s="597"/>
      <c r="T36" s="100"/>
      <c r="U36" s="599"/>
      <c r="V36" s="100"/>
      <c r="W36" s="599"/>
      <c r="X36" s="100"/>
      <c r="Y36" s="202"/>
    </row>
    <row r="37" spans="2:25" ht="15" customHeight="1">
      <c r="B37" s="185"/>
      <c r="C37" s="111"/>
      <c r="D37" s="258" t="s">
        <v>47</v>
      </c>
      <c r="E37" s="376"/>
      <c r="F37" s="234"/>
      <c r="G37" s="279"/>
      <c r="H37" s="279"/>
      <c r="I37" s="377"/>
      <c r="J37" s="234"/>
      <c r="K37" s="377"/>
      <c r="L37" s="378"/>
      <c r="M37" s="234"/>
      <c r="N37" s="258" t="s">
        <v>47</v>
      </c>
      <c r="O37" s="376"/>
      <c r="P37" s="234"/>
      <c r="Q37" s="377"/>
      <c r="R37" s="234"/>
      <c r="S37" s="377"/>
      <c r="T37" s="234"/>
      <c r="U37" s="243"/>
      <c r="V37" s="234"/>
      <c r="W37" s="243"/>
      <c r="X37" s="234"/>
      <c r="Y37" s="202"/>
    </row>
    <row r="38" spans="2:25" ht="15" customHeight="1">
      <c r="B38" s="185"/>
      <c r="C38" s="111"/>
      <c r="D38" s="542" t="s">
        <v>7</v>
      </c>
      <c r="E38" s="600">
        <v>1790</v>
      </c>
      <c r="F38" s="573"/>
      <c r="G38" s="544">
        <v>2</v>
      </c>
      <c r="H38" s="544"/>
      <c r="I38" s="544">
        <v>-10</v>
      </c>
      <c r="J38" s="573"/>
      <c r="K38" s="544">
        <v>1782</v>
      </c>
      <c r="L38" s="575"/>
      <c r="M38" s="548"/>
      <c r="N38" s="542" t="s">
        <v>7</v>
      </c>
      <c r="O38" s="600">
        <v>1566</v>
      </c>
      <c r="P38" s="548"/>
      <c r="Q38" s="544">
        <v>13</v>
      </c>
      <c r="R38" s="548"/>
      <c r="S38" s="544">
        <v>1553</v>
      </c>
      <c r="T38" s="548"/>
      <c r="U38" s="549">
        <v>-0.12513966480446925</v>
      </c>
      <c r="V38" s="548"/>
      <c r="W38" s="549">
        <v>-0.12850729517396187</v>
      </c>
      <c r="X38" s="548"/>
      <c r="Y38" s="898"/>
    </row>
    <row r="39" spans="2:25" ht="15" customHeight="1">
      <c r="B39" s="185"/>
      <c r="C39" s="111"/>
      <c r="D39" s="557" t="s">
        <v>8</v>
      </c>
      <c r="E39" s="561">
        <v>22</v>
      </c>
      <c r="F39" s="548"/>
      <c r="G39" s="552">
        <v>1</v>
      </c>
      <c r="H39" s="552"/>
      <c r="I39" s="552"/>
      <c r="J39" s="548"/>
      <c r="K39" s="552">
        <v>23</v>
      </c>
      <c r="L39" s="575"/>
      <c r="M39" s="548"/>
      <c r="N39" s="557" t="s">
        <v>8</v>
      </c>
      <c r="O39" s="561">
        <v>6</v>
      </c>
      <c r="P39" s="548"/>
      <c r="Q39" s="552"/>
      <c r="R39" s="548"/>
      <c r="S39" s="552">
        <v>6</v>
      </c>
      <c r="T39" s="548"/>
      <c r="U39" s="556">
        <v>0.7272727272727273</v>
      </c>
      <c r="V39" s="548"/>
      <c r="W39" s="556">
        <v>-0.7391304347826086</v>
      </c>
      <c r="X39" s="548"/>
      <c r="Y39" s="898"/>
    </row>
    <row r="40" spans="2:25" ht="15" customHeight="1">
      <c r="B40" s="185"/>
      <c r="C40" s="111"/>
      <c r="D40" s="557" t="s">
        <v>31</v>
      </c>
      <c r="E40" s="561">
        <v>16</v>
      </c>
      <c r="F40" s="548"/>
      <c r="G40" s="577"/>
      <c r="H40" s="552">
        <v>-1</v>
      </c>
      <c r="I40" s="552"/>
      <c r="J40" s="548"/>
      <c r="K40" s="552">
        <v>15</v>
      </c>
      <c r="L40" s="575"/>
      <c r="M40" s="548"/>
      <c r="N40" s="557" t="s">
        <v>31</v>
      </c>
      <c r="O40" s="561">
        <v>-17</v>
      </c>
      <c r="P40" s="548"/>
      <c r="Q40" s="552"/>
      <c r="R40" s="548"/>
      <c r="S40" s="552">
        <v>-17</v>
      </c>
      <c r="T40" s="548"/>
      <c r="U40" s="556"/>
      <c r="V40" s="548"/>
      <c r="W40" s="556"/>
      <c r="X40" s="548"/>
      <c r="Y40" s="898"/>
    </row>
    <row r="41" spans="2:25" ht="15" customHeight="1">
      <c r="B41" s="185"/>
      <c r="C41" s="111"/>
      <c r="D41" s="557" t="s">
        <v>89</v>
      </c>
      <c r="E41" s="561">
        <v>-26</v>
      </c>
      <c r="F41" s="548"/>
      <c r="G41" s="577"/>
      <c r="H41" s="552"/>
      <c r="I41" s="552"/>
      <c r="J41" s="548"/>
      <c r="K41" s="552">
        <v>-26</v>
      </c>
      <c r="L41" s="380"/>
      <c r="M41" s="379"/>
      <c r="N41" s="557" t="s">
        <v>89</v>
      </c>
      <c r="O41" s="561">
        <v>-37</v>
      </c>
      <c r="P41" s="548"/>
      <c r="Q41" s="552"/>
      <c r="R41" s="548"/>
      <c r="S41" s="552">
        <v>-37</v>
      </c>
      <c r="T41" s="379"/>
      <c r="U41" s="556">
        <v>-0.42307692307692313</v>
      </c>
      <c r="V41" s="379"/>
      <c r="W41" s="556">
        <v>-0.42307692307692313</v>
      </c>
      <c r="X41" s="379"/>
      <c r="Y41" s="898"/>
    </row>
    <row r="42" spans="2:25" ht="15" customHeight="1">
      <c r="B42" s="185"/>
      <c r="C42" s="111"/>
      <c r="D42" s="557" t="s">
        <v>9</v>
      </c>
      <c r="E42" s="561">
        <v>-14</v>
      </c>
      <c r="F42" s="548"/>
      <c r="G42" s="552">
        <v>-2</v>
      </c>
      <c r="H42" s="552">
        <v>-2</v>
      </c>
      <c r="I42" s="552"/>
      <c r="J42" s="548"/>
      <c r="K42" s="552">
        <v>-18</v>
      </c>
      <c r="L42" s="575"/>
      <c r="M42" s="548"/>
      <c r="N42" s="557" t="s">
        <v>9</v>
      </c>
      <c r="O42" s="561">
        <v>-9</v>
      </c>
      <c r="P42" s="548"/>
      <c r="Q42" s="552"/>
      <c r="R42" s="548"/>
      <c r="S42" s="552">
        <v>-9</v>
      </c>
      <c r="T42" s="548"/>
      <c r="U42" s="556">
        <v>0.3571428571428571</v>
      </c>
      <c r="V42" s="548"/>
      <c r="W42" s="556">
        <v>0.5</v>
      </c>
      <c r="X42" s="548"/>
      <c r="Y42" s="898"/>
    </row>
    <row r="43" spans="2:25" ht="15" customHeight="1">
      <c r="B43" s="185"/>
      <c r="C43" s="111"/>
      <c r="D43" s="557" t="s">
        <v>187</v>
      </c>
      <c r="E43" s="561">
        <v>15</v>
      </c>
      <c r="F43" s="548"/>
      <c r="G43" s="552"/>
      <c r="H43" s="552">
        <v>-1</v>
      </c>
      <c r="I43" s="552"/>
      <c r="J43" s="548"/>
      <c r="K43" s="552">
        <v>14</v>
      </c>
      <c r="L43" s="575"/>
      <c r="M43" s="548"/>
      <c r="N43" s="557" t="s">
        <v>187</v>
      </c>
      <c r="O43" s="561">
        <v>17</v>
      </c>
      <c r="P43" s="548"/>
      <c r="Q43" s="552"/>
      <c r="R43" s="548"/>
      <c r="S43" s="552">
        <v>17</v>
      </c>
      <c r="T43" s="548"/>
      <c r="U43" s="556">
        <v>0.1333333333333333</v>
      </c>
      <c r="V43" s="548"/>
      <c r="W43" s="556"/>
      <c r="X43" s="548"/>
      <c r="Y43" s="898"/>
    </row>
    <row r="44" spans="2:25" ht="15" customHeight="1">
      <c r="B44" s="185"/>
      <c r="C44" s="111"/>
      <c r="D44" s="557" t="s">
        <v>188</v>
      </c>
      <c r="E44" s="561">
        <v>14</v>
      </c>
      <c r="F44" s="548"/>
      <c r="G44" s="577"/>
      <c r="H44" s="552"/>
      <c r="I44" s="552"/>
      <c r="J44" s="548"/>
      <c r="K44" s="552">
        <v>14</v>
      </c>
      <c r="L44" s="575"/>
      <c r="M44" s="548"/>
      <c r="N44" s="557" t="s">
        <v>188</v>
      </c>
      <c r="O44" s="561">
        <v>2</v>
      </c>
      <c r="P44" s="548"/>
      <c r="Q44" s="552"/>
      <c r="R44" s="548"/>
      <c r="S44" s="552">
        <v>2</v>
      </c>
      <c r="T44" s="548"/>
      <c r="U44" s="556"/>
      <c r="V44" s="548"/>
      <c r="W44" s="556"/>
      <c r="X44" s="548"/>
      <c r="Y44" s="898"/>
    </row>
    <row r="45" spans="2:25" ht="15" customHeight="1">
      <c r="B45" s="185"/>
      <c r="C45" s="1403"/>
      <c r="D45" s="272" t="s">
        <v>10</v>
      </c>
      <c r="E45" s="384">
        <v>1817</v>
      </c>
      <c r="F45" s="579"/>
      <c r="G45" s="274">
        <v>1</v>
      </c>
      <c r="H45" s="275">
        <v>-4</v>
      </c>
      <c r="I45" s="275">
        <v>-10</v>
      </c>
      <c r="J45" s="579"/>
      <c r="K45" s="275">
        <v>1804</v>
      </c>
      <c r="L45" s="575"/>
      <c r="M45" s="548"/>
      <c r="N45" s="272" t="s">
        <v>10</v>
      </c>
      <c r="O45" s="384">
        <v>1528</v>
      </c>
      <c r="P45" s="548"/>
      <c r="Q45" s="275">
        <f>+Q38</f>
        <v>13</v>
      </c>
      <c r="R45" s="548"/>
      <c r="S45" s="275">
        <v>1515</v>
      </c>
      <c r="T45" s="548"/>
      <c r="U45" s="277">
        <v>-0.15905338470005503</v>
      </c>
      <c r="V45" s="548"/>
      <c r="W45" s="277">
        <v>-0.16019955654101992</v>
      </c>
      <c r="X45" s="548"/>
      <c r="Y45" s="202"/>
    </row>
    <row r="46" spans="2:25" ht="9" customHeight="1">
      <c r="B46" s="185"/>
      <c r="C46" s="111"/>
      <c r="D46" s="581"/>
      <c r="E46" s="561"/>
      <c r="F46" s="548"/>
      <c r="G46" s="577"/>
      <c r="H46" s="577"/>
      <c r="I46" s="552"/>
      <c r="J46" s="548"/>
      <c r="K46" s="552"/>
      <c r="L46" s="575"/>
      <c r="M46" s="548"/>
      <c r="N46" s="581"/>
      <c r="O46" s="561"/>
      <c r="P46" s="548"/>
      <c r="Q46" s="552"/>
      <c r="R46" s="548"/>
      <c r="S46" s="552"/>
      <c r="T46" s="548"/>
      <c r="U46" s="578"/>
      <c r="V46" s="548"/>
      <c r="W46" s="578"/>
      <c r="X46" s="548"/>
      <c r="Y46" s="202"/>
    </row>
    <row r="47" spans="2:25" ht="15" customHeight="1">
      <c r="B47" s="185"/>
      <c r="C47" s="111"/>
      <c r="D47" s="258" t="s">
        <v>69</v>
      </c>
      <c r="E47" s="583"/>
      <c r="F47" s="548"/>
      <c r="G47" s="577"/>
      <c r="H47" s="577"/>
      <c r="I47" s="552"/>
      <c r="J47" s="548"/>
      <c r="K47" s="552"/>
      <c r="L47" s="575"/>
      <c r="M47" s="548"/>
      <c r="N47" s="258" t="s">
        <v>69</v>
      </c>
      <c r="O47" s="583"/>
      <c r="P47" s="548"/>
      <c r="Q47" s="552"/>
      <c r="R47" s="548"/>
      <c r="S47" s="552"/>
      <c r="T47" s="548"/>
      <c r="U47" s="578"/>
      <c r="V47" s="548"/>
      <c r="W47" s="578"/>
      <c r="X47" s="548"/>
      <c r="Y47" s="202"/>
    </row>
    <row r="48" spans="2:25" ht="15" customHeight="1">
      <c r="B48" s="185"/>
      <c r="C48" s="111"/>
      <c r="D48" s="542" t="s">
        <v>7</v>
      </c>
      <c r="E48" s="584">
        <v>0.29788650357796637</v>
      </c>
      <c r="F48" s="573"/>
      <c r="G48" s="585"/>
      <c r="H48" s="585"/>
      <c r="I48" s="544"/>
      <c r="J48" s="573"/>
      <c r="K48" s="586">
        <v>0.29695050824862523</v>
      </c>
      <c r="L48" s="575"/>
      <c r="M48" s="548"/>
      <c r="N48" s="542" t="s">
        <v>7</v>
      </c>
      <c r="O48" s="584">
        <v>0.27869727709556863</v>
      </c>
      <c r="P48" s="548"/>
      <c r="Q48" s="544"/>
      <c r="R48" s="548"/>
      <c r="S48" s="586">
        <v>0.27638369816693364</v>
      </c>
      <c r="T48" s="548"/>
      <c r="U48" s="587">
        <v>-1.9189226482397737</v>
      </c>
      <c r="V48" s="548"/>
      <c r="W48" s="587">
        <f aca="true" t="shared" si="1" ref="W48:W53">+(S48-K48)*100</f>
        <v>-2.056681008169159</v>
      </c>
      <c r="X48" s="548"/>
      <c r="Y48" s="202"/>
    </row>
    <row r="49" spans="2:25" ht="15" customHeight="1">
      <c r="B49" s="185"/>
      <c r="C49" s="111"/>
      <c r="D49" s="557" t="s">
        <v>8</v>
      </c>
      <c r="E49" s="588">
        <v>0.10185185185185185</v>
      </c>
      <c r="F49" s="548"/>
      <c r="G49" s="577"/>
      <c r="H49" s="577"/>
      <c r="I49" s="552"/>
      <c r="J49" s="548"/>
      <c r="K49" s="589">
        <v>0.08098591549295775</v>
      </c>
      <c r="L49" s="575"/>
      <c r="M49" s="548"/>
      <c r="N49" s="557" t="s">
        <v>8</v>
      </c>
      <c r="O49" s="588">
        <v>0.018575851393188854</v>
      </c>
      <c r="P49" s="548"/>
      <c r="Q49" s="552"/>
      <c r="R49" s="548"/>
      <c r="S49" s="589">
        <v>0.018575851393188854</v>
      </c>
      <c r="T49" s="548"/>
      <c r="U49" s="590">
        <v>-8.327600045866298</v>
      </c>
      <c r="V49" s="548"/>
      <c r="W49" s="590">
        <f t="shared" si="1"/>
        <v>-6.241006409976889</v>
      </c>
      <c r="X49" s="548"/>
      <c r="Y49" s="202"/>
    </row>
    <row r="50" spans="2:25" ht="15" customHeight="1">
      <c r="B50" s="185"/>
      <c r="C50" s="111"/>
      <c r="D50" s="557" t="s">
        <v>31</v>
      </c>
      <c r="E50" s="588">
        <v>0.014545454545454545</v>
      </c>
      <c r="F50" s="548"/>
      <c r="G50" s="577"/>
      <c r="H50" s="577"/>
      <c r="I50" s="552"/>
      <c r="J50" s="548"/>
      <c r="K50" s="589">
        <v>0.012798634812286689</v>
      </c>
      <c r="L50" s="575"/>
      <c r="M50" s="548"/>
      <c r="N50" s="557" t="s">
        <v>31</v>
      </c>
      <c r="O50" s="588">
        <v>-0.013888888888888888</v>
      </c>
      <c r="P50" s="548"/>
      <c r="Q50" s="552"/>
      <c r="R50" s="548"/>
      <c r="S50" s="589">
        <v>-0.013888888888888888</v>
      </c>
      <c r="T50" s="548"/>
      <c r="U50" s="590">
        <v>-2.8434343434343434</v>
      </c>
      <c r="V50" s="379"/>
      <c r="W50" s="590">
        <f t="shared" si="1"/>
        <v>-2.6687523701175575</v>
      </c>
      <c r="X50" s="548"/>
      <c r="Y50" s="202"/>
    </row>
    <row r="51" spans="2:25" ht="15" customHeight="1">
      <c r="B51" s="185"/>
      <c r="C51" s="111"/>
      <c r="D51" s="557" t="s">
        <v>89</v>
      </c>
      <c r="E51" s="588">
        <v>-0.4482758620689655</v>
      </c>
      <c r="F51" s="548"/>
      <c r="G51" s="577"/>
      <c r="H51" s="577"/>
      <c r="I51" s="552"/>
      <c r="J51" s="548"/>
      <c r="K51" s="589">
        <v>-0.4482758620689655</v>
      </c>
      <c r="L51" s="575"/>
      <c r="M51" s="548"/>
      <c r="N51" s="557" t="s">
        <v>89</v>
      </c>
      <c r="O51" s="588">
        <v>-0.5</v>
      </c>
      <c r="P51" s="548"/>
      <c r="Q51" s="552"/>
      <c r="R51" s="548"/>
      <c r="S51" s="589">
        <v>-0.5</v>
      </c>
      <c r="T51" s="548"/>
      <c r="U51" s="590">
        <v>-5.1724137931034475</v>
      </c>
      <c r="V51" s="379"/>
      <c r="W51" s="590">
        <f t="shared" si="1"/>
        <v>-5.1724137931034475</v>
      </c>
      <c r="X51" s="548"/>
      <c r="Y51" s="202"/>
    </row>
    <row r="52" spans="2:25" ht="15" customHeight="1">
      <c r="B52" s="185"/>
      <c r="C52" s="111"/>
      <c r="D52" s="557" t="s">
        <v>9</v>
      </c>
      <c r="E52" s="588">
        <v>-0.1686746987951807</v>
      </c>
      <c r="F52" s="548"/>
      <c r="G52" s="577"/>
      <c r="H52" s="577"/>
      <c r="I52" s="552"/>
      <c r="J52" s="548"/>
      <c r="K52" s="589">
        <v>-0.23076923076923078</v>
      </c>
      <c r="L52" s="575"/>
      <c r="M52" s="548"/>
      <c r="N52" s="557" t="s">
        <v>9</v>
      </c>
      <c r="O52" s="588">
        <v>-0.10843373493975904</v>
      </c>
      <c r="P52" s="548"/>
      <c r="Q52" s="552"/>
      <c r="R52" s="548"/>
      <c r="S52" s="589">
        <v>-0.10843373493975904</v>
      </c>
      <c r="T52" s="548"/>
      <c r="U52" s="590">
        <v>6.024096385542167</v>
      </c>
      <c r="V52" s="379"/>
      <c r="W52" s="590">
        <f t="shared" si="1"/>
        <v>12.233549582947175</v>
      </c>
      <c r="X52" s="548"/>
      <c r="Y52" s="202"/>
    </row>
    <row r="53" spans="2:25" ht="15" customHeight="1">
      <c r="B53" s="185"/>
      <c r="C53" s="111"/>
      <c r="D53" s="272" t="s">
        <v>10</v>
      </c>
      <c r="E53" s="281">
        <v>0.24307692307692308</v>
      </c>
      <c r="F53" s="579"/>
      <c r="G53" s="602"/>
      <c r="H53" s="602"/>
      <c r="I53" s="562"/>
      <c r="J53" s="579"/>
      <c r="K53" s="282">
        <v>0.23739965784971706</v>
      </c>
      <c r="L53" s="575"/>
      <c r="M53" s="548"/>
      <c r="N53" s="272" t="s">
        <v>10</v>
      </c>
      <c r="O53" s="281">
        <v>0.20937243080295972</v>
      </c>
      <c r="P53" s="548"/>
      <c r="Q53" s="562"/>
      <c r="R53" s="548"/>
      <c r="S53" s="282">
        <v>0.2075911208550288</v>
      </c>
      <c r="T53" s="548"/>
      <c r="U53" s="596">
        <v>-3.3704492273963353</v>
      </c>
      <c r="V53" s="100"/>
      <c r="W53" s="596">
        <f t="shared" si="1"/>
        <v>-2.9808536994688275</v>
      </c>
      <c r="X53" s="548"/>
      <c r="Y53" s="202"/>
    </row>
    <row r="54" spans="2:27" ht="15" customHeight="1" thickBot="1">
      <c r="B54" s="185"/>
      <c r="C54" s="111"/>
      <c r="D54" s="286"/>
      <c r="E54" s="385"/>
      <c r="F54" s="385"/>
      <c r="G54" s="287"/>
      <c r="H54" s="287"/>
      <c r="I54" s="385"/>
      <c r="J54" s="385"/>
      <c r="K54" s="385"/>
      <c r="L54" s="386"/>
      <c r="M54" s="379"/>
      <c r="N54" s="288"/>
      <c r="O54" s="387"/>
      <c r="P54" s="387"/>
      <c r="Q54" s="387"/>
      <c r="R54" s="387"/>
      <c r="S54" s="289"/>
      <c r="T54" s="379"/>
      <c r="U54" s="388"/>
      <c r="V54" s="379"/>
      <c r="W54" s="388"/>
      <c r="X54" s="379"/>
      <c r="Y54" s="202"/>
      <c r="AA54" s="97"/>
    </row>
    <row r="55" spans="2:25" ht="15" customHeight="1" thickTop="1">
      <c r="B55" s="185"/>
      <c r="C55" s="111"/>
      <c r="D55" s="1479" t="s">
        <v>381</v>
      </c>
      <c r="E55" s="1479"/>
      <c r="F55" s="1479"/>
      <c r="G55" s="1479"/>
      <c r="H55" s="1479"/>
      <c r="I55" s="1479"/>
      <c r="J55" s="1479"/>
      <c r="K55" s="1479"/>
      <c r="L55" s="1479"/>
      <c r="M55" s="1479"/>
      <c r="N55" s="1479"/>
      <c r="O55" s="1479"/>
      <c r="P55" s="1479"/>
      <c r="Q55" s="1479"/>
      <c r="R55" s="1479"/>
      <c r="S55" s="1479"/>
      <c r="T55" s="1479"/>
      <c r="U55" s="1479"/>
      <c r="V55" s="1479"/>
      <c r="W55" s="1479"/>
      <c r="X55" s="379"/>
      <c r="Y55" s="202"/>
    </row>
    <row r="56" spans="2:25" ht="15" customHeight="1">
      <c r="B56" s="185"/>
      <c r="C56" s="111"/>
      <c r="D56" s="1242"/>
      <c r="E56" s="1242"/>
      <c r="F56" s="1242"/>
      <c r="G56" s="1242"/>
      <c r="H56" s="1242"/>
      <c r="I56" s="1242"/>
      <c r="J56" s="1242"/>
      <c r="K56" s="1242"/>
      <c r="L56" s="1242"/>
      <c r="M56" s="1242"/>
      <c r="N56" s="1242"/>
      <c r="O56" s="1242"/>
      <c r="P56" s="1242"/>
      <c r="Q56" s="1242"/>
      <c r="R56" s="1242"/>
      <c r="S56" s="1242"/>
      <c r="T56" s="1242"/>
      <c r="U56" s="1242"/>
      <c r="V56" s="1242"/>
      <c r="W56" s="1242"/>
      <c r="X56" s="379"/>
      <c r="Y56" s="202"/>
    </row>
    <row r="57" spans="2:27" ht="15" customHeight="1">
      <c r="B57" s="185"/>
      <c r="C57" s="111"/>
      <c r="D57" s="901" t="s">
        <v>364</v>
      </c>
      <c r="E57" s="902"/>
      <c r="F57" s="902"/>
      <c r="G57" s="902"/>
      <c r="H57" s="902"/>
      <c r="I57" s="903" t="s">
        <v>6</v>
      </c>
      <c r="J57" s="903"/>
      <c r="K57" s="904" t="s">
        <v>339</v>
      </c>
      <c r="L57" s="379"/>
      <c r="M57" s="379"/>
      <c r="N57" s="901" t="s">
        <v>350</v>
      </c>
      <c r="O57" s="902"/>
      <c r="P57" s="902"/>
      <c r="Q57" s="902"/>
      <c r="R57" s="902"/>
      <c r="S57" s="903" t="s">
        <v>6</v>
      </c>
      <c r="T57" s="903"/>
      <c r="U57" s="904" t="s">
        <v>339</v>
      </c>
      <c r="V57" s="379"/>
      <c r="W57" s="379"/>
      <c r="X57" s="379"/>
      <c r="Y57" s="202"/>
      <c r="AA57" s="92"/>
    </row>
    <row r="58" spans="2:27" s="97" customFormat="1" ht="15" customHeight="1">
      <c r="B58" s="441"/>
      <c r="C58" s="100"/>
      <c r="D58" s="617" t="s">
        <v>351</v>
      </c>
      <c r="E58" s="379"/>
      <c r="F58" s="379"/>
      <c r="G58" s="401"/>
      <c r="H58" s="401"/>
      <c r="I58" s="661"/>
      <c r="J58" s="661"/>
      <c r="K58" s="664">
        <v>9</v>
      </c>
      <c r="L58" s="379"/>
      <c r="M58" s="379"/>
      <c r="N58" s="617" t="s">
        <v>351</v>
      </c>
      <c r="O58" s="379"/>
      <c r="P58" s="379"/>
      <c r="Q58" s="401"/>
      <c r="R58" s="401"/>
      <c r="S58" s="661"/>
      <c r="T58" s="661"/>
      <c r="U58" s="664">
        <v>9</v>
      </c>
      <c r="V58" s="379"/>
      <c r="W58" s="379"/>
      <c r="X58" s="379"/>
      <c r="Y58" s="442"/>
      <c r="AA58" s="92"/>
    </row>
    <row r="59" spans="2:25" ht="15" customHeight="1">
      <c r="B59" s="185"/>
      <c r="C59" s="111"/>
      <c r="D59" s="617" t="s">
        <v>192</v>
      </c>
      <c r="E59" s="379"/>
      <c r="F59" s="379"/>
      <c r="G59" s="401"/>
      <c r="H59" s="401"/>
      <c r="I59" s="661"/>
      <c r="J59" s="661"/>
      <c r="K59" s="664">
        <v>3</v>
      </c>
      <c r="L59" s="379"/>
      <c r="M59" s="379"/>
      <c r="N59" s="617" t="s">
        <v>352</v>
      </c>
      <c r="O59" s="379"/>
      <c r="P59" s="379"/>
      <c r="Q59" s="401"/>
      <c r="R59" s="401"/>
      <c r="S59" s="661">
        <v>-10</v>
      </c>
      <c r="T59" s="661"/>
      <c r="U59" s="664">
        <v>-25</v>
      </c>
      <c r="V59" s="379"/>
      <c r="W59" s="379"/>
      <c r="X59" s="379"/>
      <c r="Y59" s="202"/>
    </row>
    <row r="60" spans="2:25" ht="15" customHeight="1">
      <c r="B60" s="185"/>
      <c r="C60" s="111"/>
      <c r="D60" s="617"/>
      <c r="E60" s="379"/>
      <c r="F60" s="379"/>
      <c r="G60" s="401"/>
      <c r="H60" s="401"/>
      <c r="I60" s="661"/>
      <c r="J60" s="661"/>
      <c r="K60" s="664"/>
      <c r="L60" s="379"/>
      <c r="M60" s="379"/>
      <c r="N60" s="617" t="s">
        <v>192</v>
      </c>
      <c r="O60" s="379"/>
      <c r="P60" s="379"/>
      <c r="Q60" s="401"/>
      <c r="R60" s="401"/>
      <c r="S60" s="661"/>
      <c r="T60" s="661"/>
      <c r="U60" s="664">
        <v>3</v>
      </c>
      <c r="V60" s="379"/>
      <c r="W60" s="379"/>
      <c r="X60" s="379"/>
      <c r="Y60" s="202"/>
    </row>
    <row r="61" spans="2:25" ht="15" customHeight="1">
      <c r="B61" s="185"/>
      <c r="C61" s="111"/>
      <c r="D61" s="617"/>
      <c r="E61" s="379"/>
      <c r="F61" s="379"/>
      <c r="G61" s="401"/>
      <c r="H61" s="401"/>
      <c r="I61" s="661"/>
      <c r="J61" s="661"/>
      <c r="K61" s="664"/>
      <c r="L61" s="379"/>
      <c r="M61" s="379"/>
      <c r="N61" s="617"/>
      <c r="O61" s="379"/>
      <c r="P61" s="379"/>
      <c r="Q61" s="401"/>
      <c r="R61" s="401"/>
      <c r="S61" s="661"/>
      <c r="T61" s="661"/>
      <c r="U61" s="664"/>
      <c r="V61" s="379"/>
      <c r="W61" s="379"/>
      <c r="X61" s="379"/>
      <c r="Y61" s="202"/>
    </row>
    <row r="62" spans="2:25" ht="25.5" customHeight="1">
      <c r="B62" s="185"/>
      <c r="C62" s="111"/>
      <c r="D62" s="905" t="s">
        <v>139</v>
      </c>
      <c r="E62" s="402"/>
      <c r="F62" s="402"/>
      <c r="G62" s="403"/>
      <c r="H62" s="403"/>
      <c r="I62" s="631"/>
      <c r="J62" s="631"/>
      <c r="K62" s="633">
        <v>12</v>
      </c>
      <c r="L62" s="379"/>
      <c r="M62" s="379"/>
      <c r="N62" s="905" t="s">
        <v>139</v>
      </c>
      <c r="O62" s="402"/>
      <c r="P62" s="402"/>
      <c r="Q62" s="403"/>
      <c r="R62" s="403"/>
      <c r="S62" s="631">
        <v>-10</v>
      </c>
      <c r="T62" s="631"/>
      <c r="U62" s="633">
        <v>-13</v>
      </c>
      <c r="V62" s="379"/>
      <c r="W62" s="379"/>
      <c r="X62" s="379"/>
      <c r="Y62" s="202"/>
    </row>
    <row r="63" spans="2:25" ht="12.75">
      <c r="B63" s="444"/>
      <c r="C63" s="112"/>
      <c r="D63" s="906"/>
      <c r="E63" s="907"/>
      <c r="F63" s="907"/>
      <c r="G63" s="908"/>
      <c r="H63" s="908"/>
      <c r="I63" s="907"/>
      <c r="J63" s="907"/>
      <c r="K63" s="907"/>
      <c r="L63" s="907"/>
      <c r="M63" s="907"/>
      <c r="N63" s="907"/>
      <c r="O63" s="907"/>
      <c r="P63" s="907"/>
      <c r="Q63" s="907"/>
      <c r="R63" s="907"/>
      <c r="S63" s="907"/>
      <c r="T63" s="907"/>
      <c r="U63" s="907"/>
      <c r="V63" s="907"/>
      <c r="W63" s="907"/>
      <c r="X63" s="907"/>
      <c r="Y63" s="445"/>
    </row>
  </sheetData>
  <sheetProtection password="DAD6" sheet="1" formatCells="0" formatColumns="0" formatRows="0" insertColumns="0" insertRows="0" insertHyperlinks="0" deleteColumns="0" deleteRows="0" sort="0" autoFilter="0" pivotTables="0"/>
  <mergeCells count="13">
    <mergeCell ref="B1:Y1"/>
    <mergeCell ref="H6:H7"/>
    <mergeCell ref="G6:G7"/>
    <mergeCell ref="D5:E5"/>
    <mergeCell ref="D7:E7"/>
    <mergeCell ref="N7:O7"/>
    <mergeCell ref="I6:I7"/>
    <mergeCell ref="D55:W55"/>
    <mergeCell ref="G5:I5"/>
    <mergeCell ref="N4:O4"/>
    <mergeCell ref="N5:O5"/>
    <mergeCell ref="D3:L4"/>
    <mergeCell ref="N3:S3"/>
  </mergeCells>
  <hyperlinks>
    <hyperlink ref="AA13" location="'Domestic Business Results'!A1" display="Domestic Business Results"/>
    <hyperlink ref="AA14" location="'Domestic Wireline Results'!A1" display="Domestic Wireline Results"/>
    <hyperlink ref="AA15" location="'Domestic Mobile Results'!A1" display="Domestic Mobile Results"/>
    <hyperlink ref="AA16" location="'TIM Brasil Results'!A1" display="TIM Brasil Results"/>
    <hyperlink ref="AA17" location="'European BroadBand'!A1" display="European BroadBand"/>
    <hyperlink ref="AA20" location="'Main Group''s Subsidiries'!A1" display="Main Group's Subsidiaries"/>
    <hyperlink ref="AA9" location="'Key fin data by BU YTD'!A1" display="Key Financial data by BU YTD"/>
    <hyperlink ref="AA21" location="'Analyst Tools'!A1" display="Analyst Tools"/>
    <hyperlink ref="AA22" location="'Historic Data'!A1" display="Historic Data"/>
    <hyperlink ref="AA8" location="'P&amp;L Group by quarter'!A1" display="P&amp;L Group by quarter"/>
    <hyperlink ref="AA10" location="'Key fin. data by BU by quarter'!A1" display="Key Financial data by quarter"/>
    <hyperlink ref="AA7" location="'P&amp;L Group YTD'!A1" display="P&amp;L Group YTD"/>
    <hyperlink ref="AA11" location="'Balance Sheet'!A1" display="Balance Sheet"/>
    <hyperlink ref="AA12" location="'Cashflow Statement'!A1" display="Cashflow Statement"/>
    <hyperlink ref="AA18" location="'2Q Rep&amp;org.'!A1" display="Reported &amp; Organic figures 2Q08 vs 2Q07"/>
    <hyperlink ref="AA19" location="'3Q Rep&amp;org.'!A1" display="Reported &amp; Organic figures 3Q08 vs 3Q07"/>
    <hyperlink ref="AA23" location="Cover!A1" display="Cover"/>
  </hyperlinks>
  <printOptions horizontalCentered="1" verticalCentered="1"/>
  <pageMargins left="0" right="0" top="0" bottom="0" header="0.5118110236220472" footer="0.31496062992125984"/>
  <pageSetup fitToHeight="2" horizontalDpi="600" verticalDpi="600" orientation="landscape" paperSize="9" scale="52" r:id="rId3"/>
  <drawing r:id="rId1"/>
  <legacyDrawingHF r:id="rId2"/>
</worksheet>
</file>

<file path=xl/worksheets/sheet14.xml><?xml version="1.0" encoding="utf-8"?>
<worksheet xmlns="http://schemas.openxmlformats.org/spreadsheetml/2006/main" xmlns:r="http://schemas.openxmlformats.org/officeDocument/2006/relationships">
  <sheetPr codeName="Foglio11"/>
  <dimension ref="A1:EJ66"/>
  <sheetViews>
    <sheetView showGridLines="0" zoomScaleSheetLayoutView="100" workbookViewId="0" topLeftCell="B1">
      <selection activeCell="B1" sqref="B1:Y1"/>
    </sheetView>
  </sheetViews>
  <sheetFormatPr defaultColWidth="9.140625" defaultRowHeight="12.75"/>
  <cols>
    <col min="1" max="1" width="0.9921875" style="88" customWidth="1"/>
    <col min="2" max="2" width="2.00390625" style="88" customWidth="1"/>
    <col min="3" max="3" width="2.140625" style="88" customWidth="1"/>
    <col min="4" max="4" width="26.7109375" style="88" customWidth="1"/>
    <col min="5" max="5" width="12.421875" style="88" customWidth="1"/>
    <col min="6" max="6" width="1.1484375" style="97" customWidth="1"/>
    <col min="7" max="7" width="16.421875" style="97" customWidth="1"/>
    <col min="8" max="8" width="15.8515625" style="97" customWidth="1"/>
    <col min="9" max="9" width="14.57421875" style="97" customWidth="1"/>
    <col min="10" max="10" width="1.1484375" style="97" customWidth="1"/>
    <col min="11" max="11" width="18.57421875" style="97" bestFit="1" customWidth="1"/>
    <col min="12" max="12" width="1.1484375" style="97" customWidth="1"/>
    <col min="13" max="13" width="1.7109375" style="97" customWidth="1"/>
    <col min="14" max="14" width="25.140625" style="97" customWidth="1"/>
    <col min="15" max="15" width="12.421875" style="97" customWidth="1"/>
    <col min="16" max="16" width="1.1484375" style="97" customWidth="1"/>
    <col min="17" max="17" width="19.57421875" style="97" customWidth="1"/>
    <col min="18" max="18" width="1.1484375" style="97" customWidth="1"/>
    <col min="19" max="19" width="16.8515625" style="97" customWidth="1"/>
    <col min="20" max="20" width="2.57421875" style="97" customWidth="1"/>
    <col min="21" max="21" width="14.00390625" style="97" customWidth="1"/>
    <col min="22" max="22" width="3.140625" style="97" customWidth="1"/>
    <col min="23" max="23" width="14.00390625" style="97" customWidth="1"/>
    <col min="24" max="24" width="2.28125" style="97" customWidth="1"/>
    <col min="25" max="25" width="2.28125" style="88" customWidth="1"/>
    <col min="26" max="26" width="3.140625" style="88" customWidth="1"/>
    <col min="27" max="27" width="33.8515625" style="88" bestFit="1" customWidth="1"/>
    <col min="28" max="28" width="1.421875" style="88" customWidth="1"/>
    <col min="29" max="16384" width="9.140625" style="88" customWidth="1"/>
  </cols>
  <sheetData>
    <row r="1" spans="2:27" ht="38.25" customHeight="1">
      <c r="B1" s="1514" t="s">
        <v>197</v>
      </c>
      <c r="C1" s="1515"/>
      <c r="D1" s="1515"/>
      <c r="E1" s="1515"/>
      <c r="F1" s="1515"/>
      <c r="G1" s="1515"/>
      <c r="H1" s="1515"/>
      <c r="I1" s="1515"/>
      <c r="J1" s="1515"/>
      <c r="K1" s="1515"/>
      <c r="L1" s="1515"/>
      <c r="M1" s="1515"/>
      <c r="N1" s="1515"/>
      <c r="O1" s="1515"/>
      <c r="P1" s="1515"/>
      <c r="Q1" s="1515"/>
      <c r="R1" s="1515"/>
      <c r="S1" s="1515"/>
      <c r="T1" s="1515"/>
      <c r="U1" s="1515"/>
      <c r="V1" s="1515"/>
      <c r="W1" s="1515"/>
      <c r="X1" s="1515"/>
      <c r="Y1" s="1516"/>
      <c r="Z1" s="87"/>
      <c r="AA1" s="456"/>
    </row>
    <row r="2" spans="2:27" ht="34.5" customHeight="1" thickBot="1">
      <c r="B2" s="248"/>
      <c r="C2" s="249"/>
      <c r="D2" s="249"/>
      <c r="E2" s="249"/>
      <c r="F2" s="249"/>
      <c r="G2" s="249"/>
      <c r="H2" s="249"/>
      <c r="I2" s="249"/>
      <c r="J2" s="249"/>
      <c r="K2" s="249"/>
      <c r="L2" s="249"/>
      <c r="M2" s="249"/>
      <c r="N2" s="249"/>
      <c r="O2" s="249"/>
      <c r="P2" s="249"/>
      <c r="Q2" s="249"/>
      <c r="R2" s="249"/>
      <c r="S2" s="249"/>
      <c r="T2" s="249"/>
      <c r="U2" s="249"/>
      <c r="V2" s="249"/>
      <c r="W2" s="249"/>
      <c r="X2" s="249"/>
      <c r="Y2" s="250"/>
      <c r="Z2" s="87"/>
      <c r="AA2" s="457"/>
    </row>
    <row r="3" spans="2:27" s="89" customFormat="1" ht="38.25" thickTop="1">
      <c r="B3" s="98"/>
      <c r="C3" s="240"/>
      <c r="D3" s="1487" t="s">
        <v>142</v>
      </c>
      <c r="E3" s="1470"/>
      <c r="F3" s="1470"/>
      <c r="G3" s="1470"/>
      <c r="H3" s="1470"/>
      <c r="I3" s="1470"/>
      <c r="J3" s="1470"/>
      <c r="K3" s="1470"/>
      <c r="L3" s="1471"/>
      <c r="M3" s="236"/>
      <c r="N3" s="1487" t="s">
        <v>435</v>
      </c>
      <c r="O3" s="1470"/>
      <c r="P3" s="1470"/>
      <c r="Q3" s="1470"/>
      <c r="R3" s="1470"/>
      <c r="S3" s="1471"/>
      <c r="T3" s="236"/>
      <c r="U3" s="244" t="s">
        <v>183</v>
      </c>
      <c r="V3" s="246"/>
      <c r="W3" s="244" t="s">
        <v>184</v>
      </c>
      <c r="X3" s="246"/>
      <c r="Y3" s="99"/>
      <c r="AA3" s="459"/>
    </row>
    <row r="4" spans="2:27" s="90" customFormat="1" ht="10.5" customHeight="1">
      <c r="B4" s="369"/>
      <c r="C4" s="370"/>
      <c r="D4" s="1472"/>
      <c r="E4" s="1473"/>
      <c r="F4" s="1473"/>
      <c r="G4" s="1473"/>
      <c r="H4" s="1473"/>
      <c r="I4" s="1473"/>
      <c r="J4" s="1473"/>
      <c r="K4" s="1473"/>
      <c r="L4" s="1513"/>
      <c r="M4" s="237"/>
      <c r="N4" s="1483"/>
      <c r="O4" s="1484"/>
      <c r="P4" s="107"/>
      <c r="Q4" s="108"/>
      <c r="R4" s="107"/>
      <c r="S4" s="238"/>
      <c r="T4" s="237"/>
      <c r="U4" s="241"/>
      <c r="V4" s="237"/>
      <c r="W4" s="241"/>
      <c r="X4" s="237"/>
      <c r="Y4" s="371"/>
      <c r="AA4" s="458"/>
    </row>
    <row r="5" spans="2:27" ht="27">
      <c r="B5" s="185"/>
      <c r="C5" s="111"/>
      <c r="D5" s="1485" t="s">
        <v>332</v>
      </c>
      <c r="E5" s="1486"/>
      <c r="F5" s="239"/>
      <c r="G5" s="1480" t="s">
        <v>177</v>
      </c>
      <c r="H5" s="1481"/>
      <c r="I5" s="1482"/>
      <c r="J5" s="239"/>
      <c r="K5" s="259" t="s">
        <v>180</v>
      </c>
      <c r="L5" s="1192"/>
      <c r="M5" s="239"/>
      <c r="N5" s="1485" t="s">
        <v>179</v>
      </c>
      <c r="O5" s="1486"/>
      <c r="P5" s="239"/>
      <c r="Q5" s="257" t="s">
        <v>215</v>
      </c>
      <c r="R5" s="239"/>
      <c r="S5" s="261" t="s">
        <v>189</v>
      </c>
      <c r="T5" s="239"/>
      <c r="U5" s="262" t="s">
        <v>186</v>
      </c>
      <c r="V5" s="239"/>
      <c r="W5" s="262" t="s">
        <v>181</v>
      </c>
      <c r="X5" s="239"/>
      <c r="Y5" s="202"/>
      <c r="AA5" s="30" t="s">
        <v>59</v>
      </c>
    </row>
    <row r="6" spans="2:27" s="91" customFormat="1" ht="39" customHeight="1">
      <c r="B6" s="441"/>
      <c r="C6" s="100"/>
      <c r="D6" s="541" t="s">
        <v>11</v>
      </c>
      <c r="E6" s="263"/>
      <c r="F6" s="110"/>
      <c r="G6" s="1517" t="s">
        <v>175</v>
      </c>
      <c r="H6" s="1517" t="s">
        <v>174</v>
      </c>
      <c r="I6" s="1517" t="s">
        <v>216</v>
      </c>
      <c r="J6" s="110"/>
      <c r="K6" s="267"/>
      <c r="L6" s="1192"/>
      <c r="M6" s="110"/>
      <c r="N6" s="541"/>
      <c r="O6" s="263"/>
      <c r="P6" s="110"/>
      <c r="Q6" s="897"/>
      <c r="R6" s="110"/>
      <c r="S6" s="267"/>
      <c r="T6" s="110"/>
      <c r="U6" s="242"/>
      <c r="V6" s="110"/>
      <c r="W6" s="242"/>
      <c r="X6" s="110"/>
      <c r="Y6" s="442"/>
      <c r="AA6" s="31" t="s">
        <v>56</v>
      </c>
    </row>
    <row r="7" spans="2:27" ht="15" customHeight="1">
      <c r="B7" s="185"/>
      <c r="C7" s="111"/>
      <c r="D7" s="1519" t="s">
        <v>0</v>
      </c>
      <c r="E7" s="1520"/>
      <c r="F7" s="270"/>
      <c r="G7" s="1518"/>
      <c r="H7" s="1518"/>
      <c r="I7" s="1518"/>
      <c r="J7" s="270"/>
      <c r="K7" s="269"/>
      <c r="L7" s="1193"/>
      <c r="M7" s="234"/>
      <c r="N7" s="1519" t="s">
        <v>0</v>
      </c>
      <c r="O7" s="1520"/>
      <c r="P7" s="234"/>
      <c r="Q7" s="269"/>
      <c r="R7" s="234"/>
      <c r="S7" s="269"/>
      <c r="T7" s="234"/>
      <c r="U7" s="243"/>
      <c r="V7" s="234"/>
      <c r="W7" s="243"/>
      <c r="X7" s="234"/>
      <c r="Y7" s="202"/>
      <c r="AA7" s="139" t="s">
        <v>206</v>
      </c>
    </row>
    <row r="8" spans="2:27" ht="15" customHeight="1">
      <c r="B8" s="185"/>
      <c r="C8" s="111"/>
      <c r="D8" s="542" t="s">
        <v>7</v>
      </c>
      <c r="E8" s="543">
        <v>6173</v>
      </c>
      <c r="F8" s="544"/>
      <c r="G8" s="544">
        <f>-1-'1Q Rep&amp;org.'!G8</f>
        <v>-1</v>
      </c>
      <c r="H8" s="544">
        <f>-19-'1Q Rep&amp;org.'!H8</f>
        <v>-11</v>
      </c>
      <c r="I8" s="546"/>
      <c r="J8" s="544"/>
      <c r="K8" s="546">
        <f>+E8+G8+H8</f>
        <v>6161</v>
      </c>
      <c r="L8" s="547"/>
      <c r="M8" s="548"/>
      <c r="N8" s="542" t="s">
        <v>7</v>
      </c>
      <c r="O8" s="543">
        <v>5801</v>
      </c>
      <c r="P8" s="548"/>
      <c r="Q8" s="546">
        <v>24</v>
      </c>
      <c r="R8" s="548"/>
      <c r="S8" s="546">
        <v>5825</v>
      </c>
      <c r="T8" s="548"/>
      <c r="U8" s="549">
        <v>-0.06026243317673741</v>
      </c>
      <c r="V8" s="548"/>
      <c r="W8" s="549">
        <v>-0.05453660120110371</v>
      </c>
      <c r="X8" s="548"/>
      <c r="Y8" s="898"/>
      <c r="AA8" s="139" t="s">
        <v>208</v>
      </c>
    </row>
    <row r="9" spans="2:27" ht="15" customHeight="1">
      <c r="B9" s="185"/>
      <c r="C9" s="111"/>
      <c r="D9" s="550" t="s">
        <v>145</v>
      </c>
      <c r="E9" s="551">
        <v>3994</v>
      </c>
      <c r="F9" s="552"/>
      <c r="G9" s="552">
        <f>-1-'1Q Rep&amp;org.'!G9</f>
        <v>-1</v>
      </c>
      <c r="H9" s="552">
        <f>-19-'1Q Rep&amp;org.'!H9</f>
        <v>-11</v>
      </c>
      <c r="I9" s="554"/>
      <c r="J9" s="552"/>
      <c r="K9" s="554">
        <f aca="true" t="shared" si="0" ref="K9:K16">+E9+G9+H9</f>
        <v>3982</v>
      </c>
      <c r="L9" s="555"/>
      <c r="M9" s="548"/>
      <c r="N9" s="550" t="s">
        <v>145</v>
      </c>
      <c r="O9" s="551">
        <v>3739</v>
      </c>
      <c r="P9" s="548"/>
      <c r="Q9" s="554">
        <v>24</v>
      </c>
      <c r="R9" s="548"/>
      <c r="S9" s="554">
        <v>3763</v>
      </c>
      <c r="T9" s="548"/>
      <c r="U9" s="556">
        <v>-0.06384576865297942</v>
      </c>
      <c r="V9" s="548"/>
      <c r="W9" s="556">
        <v>-0.05499748869914611</v>
      </c>
      <c r="X9" s="548"/>
      <c r="Y9" s="898"/>
      <c r="AA9" s="139" t="s">
        <v>207</v>
      </c>
    </row>
    <row r="10" spans="2:27" ht="15" customHeight="1">
      <c r="B10" s="185"/>
      <c r="C10" s="111"/>
      <c r="D10" s="550" t="s">
        <v>130</v>
      </c>
      <c r="E10" s="551">
        <v>2551</v>
      </c>
      <c r="F10" s="552"/>
      <c r="G10" s="552"/>
      <c r="H10" s="552"/>
      <c r="I10" s="554"/>
      <c r="J10" s="552"/>
      <c r="K10" s="554">
        <f t="shared" si="0"/>
        <v>2551</v>
      </c>
      <c r="L10" s="555"/>
      <c r="M10" s="548"/>
      <c r="N10" s="550" t="s">
        <v>130</v>
      </c>
      <c r="O10" s="551">
        <v>2433</v>
      </c>
      <c r="P10" s="548"/>
      <c r="Q10" s="554"/>
      <c r="R10" s="548"/>
      <c r="S10" s="554">
        <v>2433</v>
      </c>
      <c r="T10" s="548"/>
      <c r="U10" s="556">
        <v>-0.046256370050960394</v>
      </c>
      <c r="V10" s="548"/>
      <c r="W10" s="556">
        <v>-0.046256370050960394</v>
      </c>
      <c r="X10" s="548"/>
      <c r="Y10" s="898"/>
      <c r="AA10" s="139" t="s">
        <v>223</v>
      </c>
    </row>
    <row r="11" spans="2:27" ht="15" customHeight="1">
      <c r="B11" s="185"/>
      <c r="C11" s="111"/>
      <c r="D11" s="557" t="s">
        <v>8</v>
      </c>
      <c r="E11" s="558">
        <v>296</v>
      </c>
      <c r="F11" s="552"/>
      <c r="G11" s="552"/>
      <c r="H11" s="552"/>
      <c r="I11" s="560"/>
      <c r="J11" s="552"/>
      <c r="K11" s="554">
        <f t="shared" si="0"/>
        <v>296</v>
      </c>
      <c r="L11" s="555"/>
      <c r="M11" s="548"/>
      <c r="N11" s="557" t="s">
        <v>8</v>
      </c>
      <c r="O11" s="558">
        <v>319</v>
      </c>
      <c r="P11" s="548"/>
      <c r="Q11" s="560"/>
      <c r="R11" s="548"/>
      <c r="S11" s="554">
        <v>319</v>
      </c>
      <c r="T11" s="548"/>
      <c r="U11" s="556">
        <v>0.07770270270270263</v>
      </c>
      <c r="V11" s="548"/>
      <c r="W11" s="556">
        <v>0.07770270270270263</v>
      </c>
      <c r="X11" s="548"/>
      <c r="Y11" s="202"/>
      <c r="AA11" s="139" t="s">
        <v>310</v>
      </c>
    </row>
    <row r="12" spans="2:27" ht="15" customHeight="1">
      <c r="B12" s="185"/>
      <c r="C12" s="111"/>
      <c r="D12" s="557" t="s">
        <v>31</v>
      </c>
      <c r="E12" s="558">
        <v>1222</v>
      </c>
      <c r="F12" s="552"/>
      <c r="G12" s="552"/>
      <c r="H12" s="552">
        <f>116-'1Q Rep&amp;org.'!H12</f>
        <v>44</v>
      </c>
      <c r="I12" s="560"/>
      <c r="J12" s="552"/>
      <c r="K12" s="554">
        <f t="shared" si="0"/>
        <v>1266</v>
      </c>
      <c r="L12" s="555"/>
      <c r="M12" s="548"/>
      <c r="N12" s="557" t="s">
        <v>31</v>
      </c>
      <c r="O12" s="558">
        <v>1313</v>
      </c>
      <c r="P12" s="548"/>
      <c r="Q12" s="560"/>
      <c r="R12" s="548"/>
      <c r="S12" s="554">
        <v>1313</v>
      </c>
      <c r="T12" s="548"/>
      <c r="U12" s="556">
        <v>0.07446808510638303</v>
      </c>
      <c r="V12" s="548"/>
      <c r="W12" s="556">
        <v>0.03712480252764605</v>
      </c>
      <c r="X12" s="548"/>
      <c r="Y12" s="202"/>
      <c r="AA12" s="139" t="s">
        <v>311</v>
      </c>
    </row>
    <row r="13" spans="2:27" ht="15" customHeight="1">
      <c r="B13" s="185"/>
      <c r="C13" s="111"/>
      <c r="D13" s="557" t="s">
        <v>89</v>
      </c>
      <c r="E13" s="558">
        <v>67</v>
      </c>
      <c r="F13" s="552"/>
      <c r="G13" s="552"/>
      <c r="H13" s="552"/>
      <c r="I13" s="560"/>
      <c r="J13" s="552"/>
      <c r="K13" s="554">
        <f t="shared" si="0"/>
        <v>67</v>
      </c>
      <c r="L13" s="555"/>
      <c r="M13" s="548"/>
      <c r="N13" s="557" t="s">
        <v>89</v>
      </c>
      <c r="O13" s="558">
        <v>74</v>
      </c>
      <c r="P13" s="548"/>
      <c r="Q13" s="560"/>
      <c r="R13" s="548"/>
      <c r="S13" s="554">
        <v>74</v>
      </c>
      <c r="T13" s="548"/>
      <c r="U13" s="556">
        <v>0.10447761194029859</v>
      </c>
      <c r="V13" s="548"/>
      <c r="W13" s="556">
        <v>0.10447761194029859</v>
      </c>
      <c r="X13" s="548"/>
      <c r="Y13" s="202"/>
      <c r="AA13" s="139" t="s">
        <v>12</v>
      </c>
    </row>
    <row r="14" spans="2:27" ht="15" customHeight="1">
      <c r="B14" s="185"/>
      <c r="C14" s="111"/>
      <c r="D14" s="557" t="s">
        <v>9</v>
      </c>
      <c r="E14" s="558">
        <v>109</v>
      </c>
      <c r="F14" s="552"/>
      <c r="G14" s="552">
        <f>-6-'1Q Rep&amp;org.'!G14</f>
        <v>-3</v>
      </c>
      <c r="H14" s="552">
        <f>-5-'1Q Rep&amp;org.'!H14</f>
        <v>-3</v>
      </c>
      <c r="I14" s="560"/>
      <c r="J14" s="552"/>
      <c r="K14" s="554">
        <f t="shared" si="0"/>
        <v>103</v>
      </c>
      <c r="L14" s="555"/>
      <c r="M14" s="548"/>
      <c r="N14" s="557" t="s">
        <v>9</v>
      </c>
      <c r="O14" s="558">
        <v>97</v>
      </c>
      <c r="P14" s="548"/>
      <c r="Q14" s="560"/>
      <c r="R14" s="548"/>
      <c r="S14" s="554">
        <v>97</v>
      </c>
      <c r="T14" s="548"/>
      <c r="U14" s="556">
        <v>-0.11009174311926606</v>
      </c>
      <c r="V14" s="548"/>
      <c r="W14" s="556">
        <v>-0.058252427184465994</v>
      </c>
      <c r="X14" s="548"/>
      <c r="Y14" s="202"/>
      <c r="AA14" s="139" t="s">
        <v>220</v>
      </c>
    </row>
    <row r="15" spans="2:27" ht="15" customHeight="1">
      <c r="B15" s="185"/>
      <c r="C15" s="111"/>
      <c r="D15" s="557" t="s">
        <v>187</v>
      </c>
      <c r="E15" s="558">
        <v>49</v>
      </c>
      <c r="F15" s="552"/>
      <c r="G15" s="552">
        <f>-46-'1Q Rep&amp;org.'!G15</f>
        <v>-46</v>
      </c>
      <c r="H15" s="552"/>
      <c r="I15" s="560"/>
      <c r="J15" s="552"/>
      <c r="K15" s="554">
        <f t="shared" si="0"/>
        <v>3</v>
      </c>
      <c r="L15" s="555"/>
      <c r="M15" s="548"/>
      <c r="N15" s="557" t="s">
        <v>187</v>
      </c>
      <c r="O15" s="558">
        <v>22</v>
      </c>
      <c r="P15" s="548"/>
      <c r="Q15" s="560"/>
      <c r="R15" s="548"/>
      <c r="S15" s="554">
        <v>22</v>
      </c>
      <c r="T15" s="548"/>
      <c r="U15" s="556">
        <v>-0.5510204081632653</v>
      </c>
      <c r="V15" s="548"/>
      <c r="W15" s="556">
        <v>6.333333333333333</v>
      </c>
      <c r="X15" s="548"/>
      <c r="Y15" s="202"/>
      <c r="AA15" s="139" t="s">
        <v>221</v>
      </c>
    </row>
    <row r="16" spans="2:27" ht="15" customHeight="1">
      <c r="B16" s="185"/>
      <c r="C16" s="111"/>
      <c r="D16" s="557" t="s">
        <v>188</v>
      </c>
      <c r="E16" s="561">
        <v>-54</v>
      </c>
      <c r="F16" s="552"/>
      <c r="G16" s="552">
        <f>7-'1Q Rep&amp;org.'!G16</f>
        <v>5</v>
      </c>
      <c r="H16" s="552"/>
      <c r="I16" s="560"/>
      <c r="J16" s="552"/>
      <c r="K16" s="554">
        <f t="shared" si="0"/>
        <v>-49</v>
      </c>
      <c r="L16" s="555"/>
      <c r="M16" s="548"/>
      <c r="N16" s="557" t="s">
        <v>188</v>
      </c>
      <c r="O16" s="561">
        <v>-86</v>
      </c>
      <c r="P16" s="548"/>
      <c r="Q16" s="560"/>
      <c r="R16" s="548"/>
      <c r="S16" s="554">
        <v>-86</v>
      </c>
      <c r="T16" s="548"/>
      <c r="U16" s="556">
        <v>0.5925925925925926</v>
      </c>
      <c r="V16" s="548"/>
      <c r="W16" s="556"/>
      <c r="X16" s="548"/>
      <c r="Y16" s="202"/>
      <c r="AA16" s="139" t="s">
        <v>222</v>
      </c>
    </row>
    <row r="17" spans="2:27" ht="15" customHeight="1">
      <c r="B17" s="185"/>
      <c r="C17" s="111"/>
      <c r="D17" s="272" t="s">
        <v>10</v>
      </c>
      <c r="E17" s="273">
        <v>7862</v>
      </c>
      <c r="F17" s="562"/>
      <c r="G17" s="381">
        <f>+SUM(G9:G16)</f>
        <v>-45</v>
      </c>
      <c r="H17" s="381">
        <f>+SUM(H9:H16)</f>
        <v>30</v>
      </c>
      <c r="I17" s="274"/>
      <c r="J17" s="562"/>
      <c r="K17" s="274">
        <f>+E17+G17+H17</f>
        <v>7847</v>
      </c>
      <c r="L17" s="555"/>
      <c r="M17" s="548"/>
      <c r="N17" s="272" t="s">
        <v>10</v>
      </c>
      <c r="O17" s="273">
        <v>7540</v>
      </c>
      <c r="P17" s="548"/>
      <c r="Q17" s="274">
        <v>24</v>
      </c>
      <c r="R17" s="548"/>
      <c r="S17" s="274">
        <f>+O17+Q17</f>
        <v>7564</v>
      </c>
      <c r="T17" s="548"/>
      <c r="U17" s="277">
        <v>-0.04095649961841774</v>
      </c>
      <c r="V17" s="548"/>
      <c r="W17" s="277">
        <v>-0.03606473811647759</v>
      </c>
      <c r="X17" s="548"/>
      <c r="Y17" s="202"/>
      <c r="AA17" s="139" t="s">
        <v>8</v>
      </c>
    </row>
    <row r="18" spans="2:27" ht="12.75">
      <c r="B18" s="185"/>
      <c r="C18" s="111"/>
      <c r="D18" s="564"/>
      <c r="E18" s="565"/>
      <c r="F18" s="548"/>
      <c r="G18" s="1451"/>
      <c r="H18" s="1451"/>
      <c r="I18" s="566"/>
      <c r="J18" s="548"/>
      <c r="K18" s="566"/>
      <c r="L18" s="568"/>
      <c r="M18" s="100"/>
      <c r="N18" s="564"/>
      <c r="O18" s="1453"/>
      <c r="P18" s="548"/>
      <c r="Q18" s="566"/>
      <c r="R18" s="548"/>
      <c r="S18" s="1452"/>
      <c r="T18" s="100"/>
      <c r="U18" s="569"/>
      <c r="V18" s="100"/>
      <c r="W18" s="569"/>
      <c r="X18" s="100"/>
      <c r="Y18" s="202"/>
      <c r="AA18" s="139" t="s">
        <v>534</v>
      </c>
    </row>
    <row r="19" spans="2:27" ht="15" customHeight="1">
      <c r="B19" s="185"/>
      <c r="C19" s="111"/>
      <c r="D19" s="258" t="s">
        <v>45</v>
      </c>
      <c r="E19" s="376"/>
      <c r="F19" s="234"/>
      <c r="G19" s="279"/>
      <c r="H19" s="279"/>
      <c r="I19" s="377"/>
      <c r="J19" s="234"/>
      <c r="K19" s="377">
        <f>+K17+'1Q Rep&amp;org.'!K17</f>
        <v>15446</v>
      </c>
      <c r="L19" s="378"/>
      <c r="M19" s="234"/>
      <c r="N19" s="258" t="s">
        <v>45</v>
      </c>
      <c r="O19" s="376"/>
      <c r="P19" s="234"/>
      <c r="Q19" s="377"/>
      <c r="R19" s="234"/>
      <c r="S19" s="377"/>
      <c r="T19" s="234"/>
      <c r="U19" s="243"/>
      <c r="V19" s="234"/>
      <c r="W19" s="243"/>
      <c r="X19" s="234"/>
      <c r="Y19" s="202"/>
      <c r="AA19" s="139" t="s">
        <v>545</v>
      </c>
    </row>
    <row r="20" spans="2:27" ht="15" customHeight="1">
      <c r="B20" s="185"/>
      <c r="C20" s="111"/>
      <c r="D20" s="542" t="s">
        <v>7</v>
      </c>
      <c r="E20" s="543">
        <v>2766</v>
      </c>
      <c r="F20" s="573"/>
      <c r="G20" s="544">
        <v>3</v>
      </c>
      <c r="H20" s="544">
        <v>-1</v>
      </c>
      <c r="I20" s="544">
        <v>53</v>
      </c>
      <c r="J20" s="573"/>
      <c r="K20" s="544">
        <v>2821</v>
      </c>
      <c r="L20" s="575"/>
      <c r="M20" s="548"/>
      <c r="N20" s="542" t="s">
        <v>7</v>
      </c>
      <c r="O20" s="543">
        <v>2264</v>
      </c>
      <c r="P20" s="548"/>
      <c r="Q20" s="544">
        <v>313</v>
      </c>
      <c r="R20" s="548"/>
      <c r="S20" s="544">
        <v>2577</v>
      </c>
      <c r="T20" s="548"/>
      <c r="U20" s="549">
        <v>-0.18148951554591464</v>
      </c>
      <c r="V20" s="548"/>
      <c r="W20" s="549">
        <v>-0.08649415101028002</v>
      </c>
      <c r="X20" s="548"/>
      <c r="Y20" s="898"/>
      <c r="AA20" s="139" t="s">
        <v>109</v>
      </c>
    </row>
    <row r="21" spans="2:27" ht="15" customHeight="1">
      <c r="B21" s="185"/>
      <c r="C21" s="111"/>
      <c r="D21" s="557" t="s">
        <v>8</v>
      </c>
      <c r="E21" s="558">
        <v>74</v>
      </c>
      <c r="F21" s="548"/>
      <c r="G21" s="552">
        <v>0</v>
      </c>
      <c r="H21" s="552"/>
      <c r="I21" s="552"/>
      <c r="J21" s="548"/>
      <c r="K21" s="552">
        <v>74</v>
      </c>
      <c r="L21" s="575"/>
      <c r="M21" s="575"/>
      <c r="N21" s="557" t="s">
        <v>8</v>
      </c>
      <c r="O21" s="558">
        <v>58</v>
      </c>
      <c r="P21" s="548"/>
      <c r="Q21" s="552"/>
      <c r="R21" s="548"/>
      <c r="S21" s="552">
        <v>58</v>
      </c>
      <c r="T21" s="548"/>
      <c r="U21" s="556"/>
      <c r="V21" s="548"/>
      <c r="W21" s="556">
        <v>-0.21621621621621623</v>
      </c>
      <c r="X21" s="548"/>
      <c r="Y21" s="898"/>
      <c r="AA21" s="139" t="s">
        <v>157</v>
      </c>
    </row>
    <row r="22" spans="2:29" ht="15" customHeight="1">
      <c r="B22" s="185"/>
      <c r="C22" s="111"/>
      <c r="D22" s="557" t="s">
        <v>31</v>
      </c>
      <c r="E22" s="558">
        <v>316</v>
      </c>
      <c r="F22" s="548"/>
      <c r="G22" s="552">
        <v>0</v>
      </c>
      <c r="H22" s="552">
        <v>10</v>
      </c>
      <c r="I22" s="552"/>
      <c r="J22" s="548"/>
      <c r="K22" s="552">
        <v>326</v>
      </c>
      <c r="L22" s="575"/>
      <c r="M22" s="575"/>
      <c r="N22" s="557" t="s">
        <v>31</v>
      </c>
      <c r="O22" s="558">
        <v>279</v>
      </c>
      <c r="P22" s="548"/>
      <c r="Q22" s="552"/>
      <c r="R22" s="548"/>
      <c r="S22" s="552">
        <v>279</v>
      </c>
      <c r="T22" s="548"/>
      <c r="U22" s="556">
        <v>-0.11708860759493667</v>
      </c>
      <c r="V22" s="548"/>
      <c r="W22" s="556">
        <v>-0.14417177914110424</v>
      </c>
      <c r="X22" s="548"/>
      <c r="Y22" s="898"/>
      <c r="AA22" s="1469" t="s">
        <v>382</v>
      </c>
      <c r="AB22" s="95"/>
      <c r="AC22" s="95"/>
    </row>
    <row r="23" spans="2:140" ht="15" customHeight="1">
      <c r="B23" s="185"/>
      <c r="C23" s="111"/>
      <c r="D23" s="557" t="s">
        <v>89</v>
      </c>
      <c r="E23" s="561">
        <v>-10</v>
      </c>
      <c r="F23" s="548"/>
      <c r="G23" s="552">
        <v>0</v>
      </c>
      <c r="H23" s="552"/>
      <c r="I23" s="552"/>
      <c r="J23" s="548"/>
      <c r="K23" s="552">
        <v>-10</v>
      </c>
      <c r="L23" s="380"/>
      <c r="M23" s="380"/>
      <c r="N23" s="557" t="s">
        <v>89</v>
      </c>
      <c r="O23" s="561">
        <v>-14</v>
      </c>
      <c r="P23" s="548"/>
      <c r="Q23" s="552"/>
      <c r="R23" s="548"/>
      <c r="S23" s="552">
        <v>-14</v>
      </c>
      <c r="T23" s="379"/>
      <c r="U23" s="556">
        <v>-0.4</v>
      </c>
      <c r="V23" s="379"/>
      <c r="W23" s="556">
        <v>-0.4</v>
      </c>
      <c r="X23" s="379"/>
      <c r="Y23" s="898"/>
      <c r="AA23" s="162" t="s">
        <v>312</v>
      </c>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row>
    <row r="24" spans="2:140" ht="15" customHeight="1">
      <c r="B24" s="185"/>
      <c r="C24" s="111"/>
      <c r="D24" s="557" t="s">
        <v>9</v>
      </c>
      <c r="E24" s="561">
        <v>-7</v>
      </c>
      <c r="F24" s="548"/>
      <c r="G24" s="552">
        <v>-3</v>
      </c>
      <c r="H24" s="552">
        <v>-2</v>
      </c>
      <c r="I24" s="552"/>
      <c r="J24" s="548"/>
      <c r="K24" s="552">
        <v>-12</v>
      </c>
      <c r="L24" s="575"/>
      <c r="M24" s="575"/>
      <c r="N24" s="557" t="s">
        <v>9</v>
      </c>
      <c r="O24" s="561">
        <v>-5</v>
      </c>
      <c r="P24" s="548"/>
      <c r="Q24" s="552"/>
      <c r="R24" s="548"/>
      <c r="S24" s="552">
        <v>-5</v>
      </c>
      <c r="T24" s="548"/>
      <c r="U24" s="556">
        <v>0.2857142857142857</v>
      </c>
      <c r="V24" s="548"/>
      <c r="W24" s="556">
        <v>0.5833333333333333</v>
      </c>
      <c r="X24" s="548"/>
      <c r="Y24" s="898"/>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row>
    <row r="25" spans="1:140" ht="15" customHeight="1">
      <c r="A25" s="571"/>
      <c r="B25" s="185"/>
      <c r="C25" s="111"/>
      <c r="D25" s="557" t="s">
        <v>187</v>
      </c>
      <c r="E25" s="558">
        <v>18</v>
      </c>
      <c r="F25" s="548"/>
      <c r="G25" s="552">
        <v>-20</v>
      </c>
      <c r="H25" s="552"/>
      <c r="I25" s="552"/>
      <c r="J25" s="548"/>
      <c r="K25" s="552">
        <v>-2</v>
      </c>
      <c r="L25" s="575"/>
      <c r="M25" s="575"/>
      <c r="N25" s="557" t="s">
        <v>187</v>
      </c>
      <c r="O25" s="561">
        <v>-3</v>
      </c>
      <c r="P25" s="548"/>
      <c r="Q25" s="552"/>
      <c r="R25" s="548"/>
      <c r="S25" s="552">
        <v>-3</v>
      </c>
      <c r="T25" s="548"/>
      <c r="U25" s="556">
        <v>-1.1666666666666667</v>
      </c>
      <c r="V25" s="548"/>
      <c r="W25" s="556">
        <v>0.5</v>
      </c>
      <c r="X25" s="548"/>
      <c r="Y25" s="898"/>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row>
    <row r="26" spans="1:140" ht="15" customHeight="1">
      <c r="A26" s="571"/>
      <c r="B26" s="185"/>
      <c r="C26" s="111"/>
      <c r="D26" s="619" t="s">
        <v>188</v>
      </c>
      <c r="E26" s="561">
        <v>0</v>
      </c>
      <c r="F26" s="548"/>
      <c r="G26" s="552">
        <v>0</v>
      </c>
      <c r="H26" s="552"/>
      <c r="I26" s="552"/>
      <c r="J26" s="548"/>
      <c r="K26" s="552">
        <v>0</v>
      </c>
      <c r="L26" s="575"/>
      <c r="M26" s="575"/>
      <c r="N26" s="619" t="s">
        <v>188</v>
      </c>
      <c r="O26" s="561">
        <v>-10</v>
      </c>
      <c r="P26" s="548"/>
      <c r="Q26" s="552"/>
      <c r="R26" s="548"/>
      <c r="S26" s="552">
        <v>-10</v>
      </c>
      <c r="T26" s="548"/>
      <c r="U26" s="556"/>
      <c r="V26" s="548"/>
      <c r="W26" s="556"/>
      <c r="X26" s="548"/>
      <c r="Y26" s="898"/>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row>
    <row r="27" spans="1:140" ht="15" customHeight="1">
      <c r="A27" s="571"/>
      <c r="B27" s="185"/>
      <c r="C27" s="1397"/>
      <c r="D27" s="272" t="s">
        <v>10</v>
      </c>
      <c r="E27" s="273">
        <v>3157</v>
      </c>
      <c r="F27" s="579"/>
      <c r="G27" s="381">
        <v>-20</v>
      </c>
      <c r="H27" s="275">
        <v>7</v>
      </c>
      <c r="I27" s="275">
        <v>53</v>
      </c>
      <c r="J27" s="579"/>
      <c r="K27" s="275">
        <v>3197</v>
      </c>
      <c r="L27" s="575"/>
      <c r="M27" s="575"/>
      <c r="N27" s="272" t="s">
        <v>10</v>
      </c>
      <c r="O27" s="273">
        <v>2569</v>
      </c>
      <c r="P27" s="548"/>
      <c r="Q27" s="381">
        <v>313</v>
      </c>
      <c r="R27" s="548"/>
      <c r="S27" s="275">
        <v>2882</v>
      </c>
      <c r="T27" s="548"/>
      <c r="U27" s="277">
        <v>-0.1862527716186253</v>
      </c>
      <c r="V27" s="548"/>
      <c r="W27" s="277">
        <v>-0.09852987175477013</v>
      </c>
      <c r="X27" s="548"/>
      <c r="Y27" s="202"/>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row>
    <row r="28" spans="1:140" s="668" customFormat="1" ht="15" customHeight="1">
      <c r="A28" s="571"/>
      <c r="B28" s="185"/>
      <c r="C28" s="568"/>
      <c r="D28" s="581"/>
      <c r="E28" s="561"/>
      <c r="F28" s="548"/>
      <c r="G28" s="552"/>
      <c r="H28" s="577"/>
      <c r="I28" s="552"/>
      <c r="J28" s="548"/>
      <c r="K28" s="552">
        <f>+K27+'1Q Rep&amp;org.'!K27</f>
        <v>6390</v>
      </c>
      <c r="L28" s="575"/>
      <c r="M28" s="575"/>
      <c r="N28" s="581"/>
      <c r="O28" s="561"/>
      <c r="P28" s="573"/>
      <c r="Q28" s="552"/>
      <c r="R28" s="573"/>
      <c r="S28" s="552"/>
      <c r="T28" s="548"/>
      <c r="U28" s="578"/>
      <c r="V28" s="548"/>
      <c r="W28" s="578"/>
      <c r="X28" s="548"/>
      <c r="Y28" s="202"/>
      <c r="Z28" s="95"/>
      <c r="AA28" s="88"/>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row>
    <row r="29" spans="1:140" ht="15" customHeight="1">
      <c r="A29" s="571"/>
      <c r="B29" s="185"/>
      <c r="C29" s="111"/>
      <c r="D29" s="258" t="s">
        <v>67</v>
      </c>
      <c r="E29" s="583"/>
      <c r="F29" s="548"/>
      <c r="G29" s="577"/>
      <c r="H29" s="577"/>
      <c r="I29" s="552"/>
      <c r="J29" s="548"/>
      <c r="K29" s="552"/>
      <c r="L29" s="575"/>
      <c r="M29" s="575"/>
      <c r="N29" s="258" t="s">
        <v>67</v>
      </c>
      <c r="O29" s="583"/>
      <c r="P29" s="548"/>
      <c r="Q29" s="552"/>
      <c r="R29" s="548"/>
      <c r="S29" s="552"/>
      <c r="T29" s="548"/>
      <c r="U29" s="578"/>
      <c r="V29" s="548"/>
      <c r="W29" s="578"/>
      <c r="X29" s="548"/>
      <c r="Y29" s="202"/>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row>
    <row r="30" spans="1:140" ht="15" customHeight="1">
      <c r="A30" s="571"/>
      <c r="B30" s="185"/>
      <c r="C30" s="111"/>
      <c r="D30" s="542" t="s">
        <v>7</v>
      </c>
      <c r="E30" s="584">
        <v>0.44808034991090234</v>
      </c>
      <c r="F30" s="573"/>
      <c r="G30" s="585"/>
      <c r="H30" s="585"/>
      <c r="I30" s="544"/>
      <c r="J30" s="573"/>
      <c r="K30" s="586">
        <v>0.4578802142509333</v>
      </c>
      <c r="L30" s="575"/>
      <c r="M30" s="575"/>
      <c r="N30" s="542" t="s">
        <v>7</v>
      </c>
      <c r="O30" s="584">
        <v>0.390277538355456</v>
      </c>
      <c r="P30" s="548"/>
      <c r="Q30" s="544"/>
      <c r="R30" s="548"/>
      <c r="S30" s="586">
        <v>0.4424034334763948</v>
      </c>
      <c r="T30" s="548"/>
      <c r="U30" s="587">
        <v>-5.780281155544636</v>
      </c>
      <c r="V30" s="548"/>
      <c r="W30" s="587">
        <f aca="true" t="shared" si="1" ref="W30:W35">+(S30-K30)*100</f>
        <v>-1.5476780774538457</v>
      </c>
      <c r="X30" s="548"/>
      <c r="Y30" s="202"/>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row>
    <row r="31" spans="2:25" ht="15" customHeight="1">
      <c r="B31" s="185"/>
      <c r="C31" s="111"/>
      <c r="D31" s="557" t="s">
        <v>8</v>
      </c>
      <c r="E31" s="588">
        <v>0.25</v>
      </c>
      <c r="F31" s="548"/>
      <c r="G31" s="577"/>
      <c r="H31" s="577"/>
      <c r="I31" s="552"/>
      <c r="J31" s="548"/>
      <c r="K31" s="589">
        <v>0.25</v>
      </c>
      <c r="L31" s="575"/>
      <c r="M31" s="548"/>
      <c r="N31" s="557" t="s">
        <v>8</v>
      </c>
      <c r="O31" s="588">
        <v>0.18181818181818182</v>
      </c>
      <c r="P31" s="548"/>
      <c r="Q31" s="552"/>
      <c r="R31" s="548"/>
      <c r="S31" s="589">
        <v>0.18181818181818182</v>
      </c>
      <c r="T31" s="548"/>
      <c r="U31" s="590">
        <v>-6.8181818181818175</v>
      </c>
      <c r="V31" s="548"/>
      <c r="W31" s="590">
        <f t="shared" si="1"/>
        <v>-6.8181818181818175</v>
      </c>
      <c r="X31" s="548"/>
      <c r="Y31" s="202"/>
    </row>
    <row r="32" spans="2:25" ht="15" customHeight="1">
      <c r="B32" s="185"/>
      <c r="C32" s="111"/>
      <c r="D32" s="557" t="s">
        <v>31</v>
      </c>
      <c r="E32" s="588">
        <v>0.25859247135842883</v>
      </c>
      <c r="F32" s="379"/>
      <c r="G32" s="280"/>
      <c r="H32" s="280"/>
      <c r="I32" s="383"/>
      <c r="J32" s="379"/>
      <c r="K32" s="589">
        <v>0.2575039494470774</v>
      </c>
      <c r="L32" s="380"/>
      <c r="M32" s="379"/>
      <c r="N32" s="557" t="s">
        <v>31</v>
      </c>
      <c r="O32" s="588">
        <v>0.2124904798172125</v>
      </c>
      <c r="P32" s="379"/>
      <c r="Q32" s="383"/>
      <c r="R32" s="379"/>
      <c r="S32" s="589">
        <v>0.2124904798172125</v>
      </c>
      <c r="T32" s="379"/>
      <c r="U32" s="590">
        <v>-4.610199154121633</v>
      </c>
      <c r="V32" s="379"/>
      <c r="W32" s="590">
        <f t="shared" si="1"/>
        <v>-4.501346962986489</v>
      </c>
      <c r="X32" s="379"/>
      <c r="Y32" s="202"/>
    </row>
    <row r="33" spans="2:25" ht="15" customHeight="1">
      <c r="B33" s="185"/>
      <c r="C33" s="111"/>
      <c r="D33" s="557" t="s">
        <v>89</v>
      </c>
      <c r="E33" s="588">
        <v>-0.14925373134328357</v>
      </c>
      <c r="F33" s="379"/>
      <c r="G33" s="280"/>
      <c r="H33" s="280"/>
      <c r="I33" s="383"/>
      <c r="J33" s="379"/>
      <c r="K33" s="589">
        <v>-0.14925373134328357</v>
      </c>
      <c r="L33" s="380"/>
      <c r="M33" s="379"/>
      <c r="N33" s="557" t="s">
        <v>89</v>
      </c>
      <c r="O33" s="588">
        <v>-0.1891891891891892</v>
      </c>
      <c r="P33" s="379"/>
      <c r="Q33" s="383"/>
      <c r="R33" s="379"/>
      <c r="S33" s="589">
        <v>-0.1891891891891892</v>
      </c>
      <c r="T33" s="379"/>
      <c r="U33" s="590">
        <v>-3.9935457845905633</v>
      </c>
      <c r="V33" s="379"/>
      <c r="W33" s="590">
        <f t="shared" si="1"/>
        <v>-3.9935457845905633</v>
      </c>
      <c r="X33" s="379"/>
      <c r="Y33" s="202"/>
    </row>
    <row r="34" spans="2:25" ht="15" customHeight="1">
      <c r="B34" s="185"/>
      <c r="C34" s="111"/>
      <c r="D34" s="557" t="s">
        <v>9</v>
      </c>
      <c r="E34" s="588">
        <v>-0.06422018348623854</v>
      </c>
      <c r="F34" s="379"/>
      <c r="G34" s="280"/>
      <c r="H34" s="280"/>
      <c r="I34" s="383"/>
      <c r="J34" s="379"/>
      <c r="K34" s="589">
        <v>-0.11650485436893204</v>
      </c>
      <c r="L34" s="380"/>
      <c r="M34" s="379"/>
      <c r="N34" s="557" t="s">
        <v>9</v>
      </c>
      <c r="O34" s="588">
        <v>-0.05154639175257732</v>
      </c>
      <c r="P34" s="379"/>
      <c r="Q34" s="383"/>
      <c r="R34" s="379"/>
      <c r="S34" s="589">
        <v>-0.05154639175257732</v>
      </c>
      <c r="T34" s="379"/>
      <c r="U34" s="590">
        <v>1.267379173366122</v>
      </c>
      <c r="V34" s="379"/>
      <c r="W34" s="590">
        <f t="shared" si="1"/>
        <v>6.495846261635473</v>
      </c>
      <c r="X34" s="379"/>
      <c r="Y34" s="202"/>
    </row>
    <row r="35" spans="2:25" ht="12.75">
      <c r="B35" s="185"/>
      <c r="C35" s="111"/>
      <c r="D35" s="272" t="s">
        <v>10</v>
      </c>
      <c r="E35" s="281">
        <v>0.4015517679979649</v>
      </c>
      <c r="F35" s="592"/>
      <c r="G35" s="593"/>
      <c r="H35" s="593"/>
      <c r="I35" s="593"/>
      <c r="J35" s="592"/>
      <c r="K35" s="282">
        <v>0.4074168472027526</v>
      </c>
      <c r="L35" s="595"/>
      <c r="M35" s="100"/>
      <c r="N35" s="272" t="s">
        <v>10</v>
      </c>
      <c r="O35" s="281">
        <v>0.34071618037135276</v>
      </c>
      <c r="P35" s="100"/>
      <c r="Q35" s="593"/>
      <c r="R35" s="100"/>
      <c r="S35" s="282">
        <v>0.3810153358011634</v>
      </c>
      <c r="T35" s="100"/>
      <c r="U35" s="596">
        <v>-6.083558762661212</v>
      </c>
      <c r="V35" s="100"/>
      <c r="W35" s="596">
        <f t="shared" si="1"/>
        <v>-2.6401511401589195</v>
      </c>
      <c r="X35" s="100"/>
      <c r="Y35" s="202"/>
    </row>
    <row r="36" spans="2:25" ht="6.75" customHeight="1">
      <c r="B36" s="185"/>
      <c r="C36" s="111"/>
      <c r="D36" s="283"/>
      <c r="E36" s="284"/>
      <c r="F36" s="100"/>
      <c r="G36" s="597"/>
      <c r="H36" s="597"/>
      <c r="I36" s="597"/>
      <c r="J36" s="100"/>
      <c r="K36" s="597"/>
      <c r="L36" s="595"/>
      <c r="M36" s="100"/>
      <c r="N36" s="283"/>
      <c r="O36" s="284"/>
      <c r="P36" s="100"/>
      <c r="Q36" s="597"/>
      <c r="R36" s="100"/>
      <c r="S36" s="597"/>
      <c r="T36" s="100"/>
      <c r="U36" s="599"/>
      <c r="V36" s="100"/>
      <c r="W36" s="599"/>
      <c r="X36" s="100"/>
      <c r="Y36" s="202"/>
    </row>
    <row r="37" spans="2:25" ht="15" customHeight="1">
      <c r="B37" s="185"/>
      <c r="C37" s="111"/>
      <c r="D37" s="258" t="s">
        <v>47</v>
      </c>
      <c r="E37" s="376"/>
      <c r="F37" s="234"/>
      <c r="G37" s="279"/>
      <c r="H37" s="279"/>
      <c r="I37" s="377"/>
      <c r="J37" s="234"/>
      <c r="K37" s="377"/>
      <c r="L37" s="378"/>
      <c r="M37" s="234"/>
      <c r="N37" s="258" t="s">
        <v>47</v>
      </c>
      <c r="O37" s="376"/>
      <c r="P37" s="234"/>
      <c r="Q37" s="377"/>
      <c r="R37" s="234"/>
      <c r="S37" s="377"/>
      <c r="T37" s="234"/>
      <c r="U37" s="243"/>
      <c r="V37" s="234"/>
      <c r="W37" s="243"/>
      <c r="X37" s="234"/>
      <c r="Y37" s="202"/>
    </row>
    <row r="38" spans="2:25" ht="15" customHeight="1">
      <c r="B38" s="185"/>
      <c r="C38" s="111"/>
      <c r="D38" s="542" t="s">
        <v>7</v>
      </c>
      <c r="E38" s="600">
        <v>1666</v>
      </c>
      <c r="F38" s="573"/>
      <c r="G38" s="544">
        <f>5-'1Q Rep&amp;org.'!G38</f>
        <v>3</v>
      </c>
      <c r="H38" s="544">
        <f>-2-'1Q Rep&amp;org.'!H38</f>
        <v>-2</v>
      </c>
      <c r="I38" s="544">
        <v>53</v>
      </c>
      <c r="J38" s="573"/>
      <c r="K38" s="544">
        <v>1720</v>
      </c>
      <c r="L38" s="575"/>
      <c r="M38" s="548"/>
      <c r="N38" s="542" t="s">
        <v>7</v>
      </c>
      <c r="O38" s="600">
        <v>1113</v>
      </c>
      <c r="P38" s="548"/>
      <c r="Q38" s="544">
        <v>313</v>
      </c>
      <c r="R38" s="548"/>
      <c r="S38" s="544">
        <v>1426</v>
      </c>
      <c r="T38" s="548"/>
      <c r="U38" s="549">
        <v>-0.33193277310924374</v>
      </c>
      <c r="V38" s="548"/>
      <c r="W38" s="549">
        <v>-0.17093023255813955</v>
      </c>
      <c r="X38" s="548"/>
      <c r="Y38" s="898"/>
    </row>
    <row r="39" spans="2:25" ht="15" customHeight="1">
      <c r="B39" s="185"/>
      <c r="C39" s="111"/>
      <c r="D39" s="557" t="s">
        <v>8</v>
      </c>
      <c r="E39" s="561">
        <v>30</v>
      </c>
      <c r="F39" s="548"/>
      <c r="G39" s="552">
        <v>2</v>
      </c>
      <c r="H39" s="552"/>
      <c r="I39" s="552"/>
      <c r="J39" s="548"/>
      <c r="K39" s="552">
        <v>32</v>
      </c>
      <c r="L39" s="575"/>
      <c r="M39" s="548"/>
      <c r="N39" s="557" t="s">
        <v>8</v>
      </c>
      <c r="O39" s="561">
        <v>-4</v>
      </c>
      <c r="P39" s="548"/>
      <c r="Q39" s="552"/>
      <c r="R39" s="548"/>
      <c r="S39" s="552">
        <v>-4</v>
      </c>
      <c r="T39" s="548"/>
      <c r="U39" s="556">
        <v>1.1333333333333333</v>
      </c>
      <c r="V39" s="548"/>
      <c r="W39" s="556">
        <v>-1.125</v>
      </c>
      <c r="X39" s="548"/>
      <c r="Y39" s="898"/>
    </row>
    <row r="40" spans="2:25" ht="15" customHeight="1">
      <c r="B40" s="185"/>
      <c r="C40" s="111"/>
      <c r="D40" s="557" t="s">
        <v>31</v>
      </c>
      <c r="E40" s="561">
        <v>53</v>
      </c>
      <c r="F40" s="548"/>
      <c r="G40" s="552"/>
      <c r="H40" s="552"/>
      <c r="I40" s="552"/>
      <c r="J40" s="548"/>
      <c r="K40" s="552">
        <v>54</v>
      </c>
      <c r="L40" s="575"/>
      <c r="M40" s="548"/>
      <c r="N40" s="557" t="s">
        <v>31</v>
      </c>
      <c r="O40" s="561">
        <v>15</v>
      </c>
      <c r="P40" s="548"/>
      <c r="Q40" s="552"/>
      <c r="R40" s="548"/>
      <c r="S40" s="552">
        <v>15</v>
      </c>
      <c r="T40" s="548"/>
      <c r="U40" s="556">
        <v>0.7169811320754718</v>
      </c>
      <c r="V40" s="548"/>
      <c r="W40" s="556">
        <v>-0.7222222222222222</v>
      </c>
      <c r="X40" s="548"/>
      <c r="Y40" s="898"/>
    </row>
    <row r="41" spans="2:25" ht="15" customHeight="1">
      <c r="B41" s="185"/>
      <c r="C41" s="111"/>
      <c r="D41" s="557" t="s">
        <v>89</v>
      </c>
      <c r="E41" s="561">
        <v>-26</v>
      </c>
      <c r="F41" s="548"/>
      <c r="G41" s="552"/>
      <c r="H41" s="552"/>
      <c r="I41" s="552"/>
      <c r="J41" s="548"/>
      <c r="K41" s="552">
        <v>-26</v>
      </c>
      <c r="L41" s="380"/>
      <c r="M41" s="379"/>
      <c r="N41" s="557" t="s">
        <v>89</v>
      </c>
      <c r="O41" s="561">
        <v>-32</v>
      </c>
      <c r="P41" s="548"/>
      <c r="Q41" s="552"/>
      <c r="R41" s="548"/>
      <c r="S41" s="552">
        <v>-32</v>
      </c>
      <c r="T41" s="379"/>
      <c r="U41" s="556">
        <v>-0.23076923076923084</v>
      </c>
      <c r="V41" s="379"/>
      <c r="W41" s="556">
        <v>0.23076923076923084</v>
      </c>
      <c r="X41" s="379"/>
      <c r="Y41" s="898"/>
    </row>
    <row r="42" spans="2:25" ht="15" customHeight="1">
      <c r="B42" s="185"/>
      <c r="C42" s="111"/>
      <c r="D42" s="557" t="s">
        <v>9</v>
      </c>
      <c r="E42" s="561">
        <v>-10</v>
      </c>
      <c r="F42" s="548"/>
      <c r="G42" s="552">
        <v>-3</v>
      </c>
      <c r="H42" s="552">
        <f>-4-'1Q Rep&amp;org.'!H42</f>
        <v>-2</v>
      </c>
      <c r="I42" s="552">
        <v>-1</v>
      </c>
      <c r="J42" s="548"/>
      <c r="K42" s="552">
        <v>-16</v>
      </c>
      <c r="L42" s="575"/>
      <c r="M42" s="548"/>
      <c r="N42" s="557" t="s">
        <v>9</v>
      </c>
      <c r="O42" s="561">
        <v>-7</v>
      </c>
      <c r="P42" s="548"/>
      <c r="Q42" s="552"/>
      <c r="R42" s="548"/>
      <c r="S42" s="552">
        <v>-7</v>
      </c>
      <c r="T42" s="548"/>
      <c r="U42" s="556">
        <v>0.3</v>
      </c>
      <c r="V42" s="548"/>
      <c r="W42" s="556">
        <v>0.5625</v>
      </c>
      <c r="X42" s="548"/>
      <c r="Y42" s="898"/>
    </row>
    <row r="43" spans="2:25" ht="15" customHeight="1">
      <c r="B43" s="185"/>
      <c r="C43" s="111"/>
      <c r="D43" s="557" t="s">
        <v>187</v>
      </c>
      <c r="E43" s="561">
        <v>10</v>
      </c>
      <c r="F43" s="548"/>
      <c r="G43" s="552">
        <v>-12</v>
      </c>
      <c r="H43" s="552"/>
      <c r="I43" s="552"/>
      <c r="J43" s="548"/>
      <c r="K43" s="552">
        <v>-2</v>
      </c>
      <c r="L43" s="575"/>
      <c r="M43" s="548"/>
      <c r="N43" s="557" t="s">
        <v>187</v>
      </c>
      <c r="O43" s="561">
        <v>-3</v>
      </c>
      <c r="P43" s="548"/>
      <c r="Q43" s="552"/>
      <c r="R43" s="548"/>
      <c r="S43" s="552">
        <v>-3</v>
      </c>
      <c r="T43" s="548"/>
      <c r="U43" s="556">
        <v>-1.3</v>
      </c>
      <c r="V43" s="548"/>
      <c r="W43" s="556">
        <v>-0.5</v>
      </c>
      <c r="X43" s="548"/>
      <c r="Y43" s="898"/>
    </row>
    <row r="44" spans="2:25" ht="15" customHeight="1">
      <c r="B44" s="185"/>
      <c r="C44" s="111"/>
      <c r="D44" s="557" t="s">
        <v>188</v>
      </c>
      <c r="E44" s="561">
        <v>14</v>
      </c>
      <c r="F44" s="548"/>
      <c r="G44" s="552"/>
      <c r="H44" s="552"/>
      <c r="I44" s="552"/>
      <c r="J44" s="548"/>
      <c r="K44" s="552">
        <v>14</v>
      </c>
      <c r="L44" s="575"/>
      <c r="M44" s="548"/>
      <c r="N44" s="557" t="s">
        <v>188</v>
      </c>
      <c r="O44" s="561">
        <v>-2</v>
      </c>
      <c r="P44" s="548"/>
      <c r="Q44" s="552"/>
      <c r="R44" s="548"/>
      <c r="S44" s="552">
        <v>-2</v>
      </c>
      <c r="T44" s="548"/>
      <c r="U44" s="556"/>
      <c r="V44" s="548"/>
      <c r="W44" s="556"/>
      <c r="X44" s="548"/>
      <c r="Y44" s="898"/>
    </row>
    <row r="45" spans="2:25" ht="15" customHeight="1">
      <c r="B45" s="185"/>
      <c r="C45" s="1403"/>
      <c r="D45" s="272" t="s">
        <v>10</v>
      </c>
      <c r="E45" s="384">
        <v>1737</v>
      </c>
      <c r="F45" s="579"/>
      <c r="G45" s="381">
        <f>+SUM(G38:G44)</f>
        <v>-10</v>
      </c>
      <c r="H45" s="275">
        <f>-7-'1Q Rep&amp;org.'!H45</f>
        <v>-3</v>
      </c>
      <c r="I45" s="275">
        <v>52</v>
      </c>
      <c r="J45" s="579"/>
      <c r="K45" s="275">
        <f>+E45+G45+H45+I45</f>
        <v>1776</v>
      </c>
      <c r="L45" s="575"/>
      <c r="M45" s="548"/>
      <c r="N45" s="272" t="s">
        <v>10</v>
      </c>
      <c r="O45" s="384">
        <v>1080</v>
      </c>
      <c r="P45" s="548"/>
      <c r="Q45" s="381">
        <f>+Q38</f>
        <v>313</v>
      </c>
      <c r="R45" s="548"/>
      <c r="S45" s="275">
        <f>+O45+Q45</f>
        <v>1393</v>
      </c>
      <c r="T45" s="548"/>
      <c r="U45" s="277">
        <v>-0.37823834196891193</v>
      </c>
      <c r="V45" s="548"/>
      <c r="W45" s="277">
        <v>-0.21565315315315314</v>
      </c>
      <c r="X45" s="548"/>
      <c r="Y45" s="202"/>
    </row>
    <row r="46" spans="2:25" ht="9" customHeight="1">
      <c r="B46" s="185"/>
      <c r="C46" s="111"/>
      <c r="D46" s="581"/>
      <c r="E46" s="561"/>
      <c r="F46" s="548"/>
      <c r="G46" s="577"/>
      <c r="H46" s="577"/>
      <c r="I46" s="552"/>
      <c r="J46" s="548"/>
      <c r="K46" s="552"/>
      <c r="L46" s="575"/>
      <c r="M46" s="548"/>
      <c r="N46" s="581"/>
      <c r="O46" s="561"/>
      <c r="P46" s="548"/>
      <c r="Q46" s="552"/>
      <c r="R46" s="548"/>
      <c r="S46" s="552"/>
      <c r="T46" s="548"/>
      <c r="U46" s="578"/>
      <c r="V46" s="548"/>
      <c r="W46" s="578"/>
      <c r="X46" s="548"/>
      <c r="Y46" s="202"/>
    </row>
    <row r="47" spans="2:25" ht="15" customHeight="1">
      <c r="B47" s="185"/>
      <c r="C47" s="111"/>
      <c r="D47" s="258" t="s">
        <v>69</v>
      </c>
      <c r="E47" s="583"/>
      <c r="F47" s="548"/>
      <c r="G47" s="577"/>
      <c r="H47" s="1454"/>
      <c r="I47" s="552"/>
      <c r="J47" s="548"/>
      <c r="K47" s="552"/>
      <c r="L47" s="575"/>
      <c r="M47" s="548"/>
      <c r="N47" s="258" t="s">
        <v>69</v>
      </c>
      <c r="O47" s="583"/>
      <c r="P47" s="548"/>
      <c r="Q47" s="552"/>
      <c r="R47" s="548"/>
      <c r="S47" s="552"/>
      <c r="T47" s="548"/>
      <c r="U47" s="578"/>
      <c r="V47" s="548"/>
      <c r="W47" s="578"/>
      <c r="X47" s="548"/>
      <c r="Y47" s="202"/>
    </row>
    <row r="48" spans="2:25" ht="15" customHeight="1">
      <c r="B48" s="185"/>
      <c r="C48" s="111"/>
      <c r="D48" s="542" t="s">
        <v>7</v>
      </c>
      <c r="E48" s="584">
        <v>0.2698849829904422</v>
      </c>
      <c r="F48" s="573"/>
      <c r="G48" s="585"/>
      <c r="H48" s="585"/>
      <c r="I48" s="544"/>
      <c r="J48" s="573"/>
      <c r="K48" s="586">
        <v>0.2791754585294595</v>
      </c>
      <c r="L48" s="575"/>
      <c r="M48" s="548"/>
      <c r="N48" s="542" t="s">
        <v>7</v>
      </c>
      <c r="O48" s="584">
        <v>0.19186347181520427</v>
      </c>
      <c r="P48" s="548"/>
      <c r="Q48" s="544"/>
      <c r="R48" s="548"/>
      <c r="S48" s="586">
        <v>0.2448068669527897</v>
      </c>
      <c r="T48" s="548"/>
      <c r="U48" s="587">
        <v>-7.802151117523795</v>
      </c>
      <c r="V48" s="548"/>
      <c r="W48" s="587">
        <f aca="true" t="shared" si="2" ref="W48:W53">+(S48-K48)*100</f>
        <v>-3.4368591576669827</v>
      </c>
      <c r="X48" s="548"/>
      <c r="Y48" s="202"/>
    </row>
    <row r="49" spans="2:25" ht="15" customHeight="1">
      <c r="B49" s="185"/>
      <c r="C49" s="111"/>
      <c r="D49" s="557" t="s">
        <v>8</v>
      </c>
      <c r="E49" s="588">
        <v>0.10135135135135136</v>
      </c>
      <c r="F49" s="548"/>
      <c r="G49" s="577"/>
      <c r="H49" s="577"/>
      <c r="I49" s="552"/>
      <c r="J49" s="548"/>
      <c r="K49" s="589">
        <v>0.10810810810810811</v>
      </c>
      <c r="L49" s="575"/>
      <c r="M49" s="548"/>
      <c r="N49" s="557" t="s">
        <v>8</v>
      </c>
      <c r="O49" s="588">
        <v>-0.012539184952978056</v>
      </c>
      <c r="P49" s="548"/>
      <c r="Q49" s="552"/>
      <c r="R49" s="548"/>
      <c r="S49" s="589">
        <v>-0.012539184952978056</v>
      </c>
      <c r="T49" s="548"/>
      <c r="U49" s="590">
        <v>-11.38905363043294</v>
      </c>
      <c r="V49" s="548"/>
      <c r="W49" s="590">
        <f t="shared" si="2"/>
        <v>-12.064729306108617</v>
      </c>
      <c r="X49" s="548"/>
      <c r="Y49" s="202"/>
    </row>
    <row r="50" spans="2:25" ht="15" customHeight="1">
      <c r="B50" s="185"/>
      <c r="C50" s="111"/>
      <c r="D50" s="557" t="s">
        <v>31</v>
      </c>
      <c r="E50" s="588">
        <v>0.04337152209492635</v>
      </c>
      <c r="F50" s="548"/>
      <c r="G50" s="577"/>
      <c r="H50" s="577"/>
      <c r="I50" s="552"/>
      <c r="J50" s="548"/>
      <c r="K50" s="589">
        <v>0.04265402843601896</v>
      </c>
      <c r="L50" s="575"/>
      <c r="M50" s="548"/>
      <c r="N50" s="557" t="s">
        <v>31</v>
      </c>
      <c r="O50" s="588">
        <v>0.011424219345011425</v>
      </c>
      <c r="P50" s="548"/>
      <c r="Q50" s="552"/>
      <c r="R50" s="548"/>
      <c r="S50" s="589">
        <v>0.011424219345011425</v>
      </c>
      <c r="T50" s="548"/>
      <c r="U50" s="590">
        <v>-3.1947302749914916</v>
      </c>
      <c r="V50" s="379"/>
      <c r="W50" s="590">
        <f t="shared" si="2"/>
        <v>-3.1229809091007534</v>
      </c>
      <c r="X50" s="548"/>
      <c r="Y50" s="202"/>
    </row>
    <row r="51" spans="2:25" ht="15" customHeight="1">
      <c r="B51" s="185"/>
      <c r="C51" s="111"/>
      <c r="D51" s="557" t="s">
        <v>89</v>
      </c>
      <c r="E51" s="588">
        <v>-0.3880597014925373</v>
      </c>
      <c r="F51" s="548"/>
      <c r="G51" s="577"/>
      <c r="H51" s="577"/>
      <c r="I51" s="552"/>
      <c r="J51" s="548"/>
      <c r="K51" s="589">
        <v>-0.3880597014925373</v>
      </c>
      <c r="L51" s="575"/>
      <c r="M51" s="548"/>
      <c r="N51" s="557" t="s">
        <v>89</v>
      </c>
      <c r="O51" s="588">
        <v>-0.43243243243243246</v>
      </c>
      <c r="P51" s="548"/>
      <c r="Q51" s="552"/>
      <c r="R51" s="548"/>
      <c r="S51" s="589">
        <v>-0.43243243243243246</v>
      </c>
      <c r="T51" s="548"/>
      <c r="U51" s="590">
        <v>-4.437273093989513</v>
      </c>
      <c r="V51" s="379"/>
      <c r="W51" s="590">
        <f t="shared" si="2"/>
        <v>-4.437273093989513</v>
      </c>
      <c r="X51" s="548"/>
      <c r="Y51" s="202"/>
    </row>
    <row r="52" spans="2:25" ht="15" customHeight="1">
      <c r="B52" s="185"/>
      <c r="C52" s="111"/>
      <c r="D52" s="557" t="s">
        <v>9</v>
      </c>
      <c r="E52" s="588">
        <v>-0.09174311926605505</v>
      </c>
      <c r="F52" s="548"/>
      <c r="G52" s="577"/>
      <c r="H52" s="577"/>
      <c r="I52" s="552"/>
      <c r="J52" s="548"/>
      <c r="K52" s="589">
        <v>-0.1553398058252427</v>
      </c>
      <c r="L52" s="575"/>
      <c r="M52" s="548"/>
      <c r="N52" s="557" t="s">
        <v>9</v>
      </c>
      <c r="O52" s="588">
        <v>-0.07216494845360824</v>
      </c>
      <c r="P52" s="548"/>
      <c r="Q52" s="552"/>
      <c r="R52" s="548"/>
      <c r="S52" s="589">
        <v>-0.07216494845360824</v>
      </c>
      <c r="T52" s="548"/>
      <c r="U52" s="590">
        <v>1.9578170812446811</v>
      </c>
      <c r="V52" s="379"/>
      <c r="W52" s="590">
        <f t="shared" si="2"/>
        <v>8.317485737163446</v>
      </c>
      <c r="X52" s="548"/>
      <c r="Y52" s="202"/>
    </row>
    <row r="53" spans="2:25" ht="15" customHeight="1">
      <c r="B53" s="185"/>
      <c r="C53" s="111"/>
      <c r="D53" s="272" t="s">
        <v>10</v>
      </c>
      <c r="E53" s="281">
        <v>0.22093614856270669</v>
      </c>
      <c r="F53" s="579"/>
      <c r="G53" s="602"/>
      <c r="H53" s="602"/>
      <c r="I53" s="562"/>
      <c r="J53" s="579"/>
      <c r="K53" s="282">
        <v>0.2263285331974003</v>
      </c>
      <c r="L53" s="575"/>
      <c r="M53" s="548"/>
      <c r="N53" s="272" t="s">
        <v>10</v>
      </c>
      <c r="O53" s="281">
        <v>0.14323607427055704</v>
      </c>
      <c r="P53" s="548"/>
      <c r="Q53" s="562"/>
      <c r="R53" s="548"/>
      <c r="S53" s="282">
        <v>0.18416181914331042</v>
      </c>
      <c r="T53" s="548"/>
      <c r="U53" s="596">
        <v>-7.770007429214965</v>
      </c>
      <c r="V53" s="100"/>
      <c r="W53" s="596">
        <f t="shared" si="2"/>
        <v>-4.216671405408986</v>
      </c>
      <c r="X53" s="548"/>
      <c r="Y53" s="202"/>
    </row>
    <row r="54" spans="2:27" ht="15" customHeight="1" thickBot="1">
      <c r="B54" s="185"/>
      <c r="C54" s="111"/>
      <c r="D54" s="286"/>
      <c r="E54" s="385"/>
      <c r="F54" s="385"/>
      <c r="G54" s="287"/>
      <c r="H54" s="287"/>
      <c r="I54" s="385"/>
      <c r="J54" s="385"/>
      <c r="K54" s="385"/>
      <c r="L54" s="386"/>
      <c r="M54" s="379"/>
      <c r="N54" s="288"/>
      <c r="O54" s="387"/>
      <c r="P54" s="387"/>
      <c r="Q54" s="387"/>
      <c r="R54" s="387"/>
      <c r="S54" s="289"/>
      <c r="T54" s="379"/>
      <c r="U54" s="388"/>
      <c r="V54" s="379"/>
      <c r="W54" s="388"/>
      <c r="X54" s="379"/>
      <c r="Y54" s="202"/>
      <c r="AA54" s="97"/>
    </row>
    <row r="55" spans="2:25" ht="15" customHeight="1" thickTop="1">
      <c r="B55" s="185"/>
      <c r="C55" s="111"/>
      <c r="D55" s="1479" t="s">
        <v>381</v>
      </c>
      <c r="E55" s="1479"/>
      <c r="F55" s="1479"/>
      <c r="G55" s="1479"/>
      <c r="H55" s="1479"/>
      <c r="I55" s="1479"/>
      <c r="J55" s="1479"/>
      <c r="K55" s="1479"/>
      <c r="L55" s="1479"/>
      <c r="M55" s="1479"/>
      <c r="N55" s="1479"/>
      <c r="O55" s="1479"/>
      <c r="P55" s="1479"/>
      <c r="Q55" s="1479"/>
      <c r="R55" s="1479"/>
      <c r="S55" s="1479"/>
      <c r="T55" s="1479"/>
      <c r="U55" s="1479"/>
      <c r="V55" s="1479"/>
      <c r="W55" s="1479"/>
      <c r="X55" s="379"/>
      <c r="Y55" s="202"/>
    </row>
    <row r="56" spans="2:25" ht="15" customHeight="1">
      <c r="B56" s="185"/>
      <c r="C56" s="111"/>
      <c r="D56" s="1242"/>
      <c r="E56" s="1242"/>
      <c r="F56" s="1242"/>
      <c r="G56" s="1242"/>
      <c r="H56" s="1242"/>
      <c r="I56" s="1242"/>
      <c r="J56" s="1242"/>
      <c r="K56" s="1242"/>
      <c r="L56" s="1242"/>
      <c r="M56" s="1242"/>
      <c r="N56" s="1242"/>
      <c r="O56" s="1242"/>
      <c r="P56" s="1242"/>
      <c r="Q56" s="1242"/>
      <c r="R56" s="1242"/>
      <c r="S56" s="1242"/>
      <c r="T56" s="1242"/>
      <c r="U56" s="1242"/>
      <c r="V56" s="1242"/>
      <c r="W56" s="1242"/>
      <c r="X56" s="379"/>
      <c r="Y56" s="202"/>
    </row>
    <row r="57" spans="2:29" ht="15" customHeight="1">
      <c r="B57" s="185"/>
      <c r="C57" s="111"/>
      <c r="D57" s="901" t="s">
        <v>364</v>
      </c>
      <c r="E57" s="902"/>
      <c r="F57" s="902"/>
      <c r="G57" s="902"/>
      <c r="H57" s="902"/>
      <c r="I57" s="903" t="s">
        <v>142</v>
      </c>
      <c r="J57" s="903"/>
      <c r="K57" s="904" t="s">
        <v>435</v>
      </c>
      <c r="L57" s="379"/>
      <c r="M57" s="379"/>
      <c r="N57" s="901" t="s">
        <v>350</v>
      </c>
      <c r="O57" s="902"/>
      <c r="P57" s="902"/>
      <c r="Q57" s="902"/>
      <c r="R57" s="902"/>
      <c r="S57" s="903" t="s">
        <v>142</v>
      </c>
      <c r="T57" s="903"/>
      <c r="U57" s="904" t="s">
        <v>435</v>
      </c>
      <c r="V57" s="379"/>
      <c r="W57" s="379"/>
      <c r="X57" s="379"/>
      <c r="Y57" s="202"/>
      <c r="AA57" s="92"/>
      <c r="AB57" s="97"/>
      <c r="AC57" s="97"/>
    </row>
    <row r="58" spans="2:29" s="97" customFormat="1" ht="24.75" customHeight="1">
      <c r="B58" s="441"/>
      <c r="C58" s="100"/>
      <c r="D58" s="1521" t="s">
        <v>528</v>
      </c>
      <c r="E58" s="1522"/>
      <c r="F58" s="1522"/>
      <c r="G58" s="1522"/>
      <c r="H58" s="1522"/>
      <c r="I58" s="661"/>
      <c r="J58" s="661"/>
      <c r="K58" s="664">
        <v>287</v>
      </c>
      <c r="L58" s="379"/>
      <c r="M58" s="379"/>
      <c r="N58" s="1521" t="s">
        <v>528</v>
      </c>
      <c r="O58" s="1522"/>
      <c r="P58" s="1522"/>
      <c r="Q58" s="1522"/>
      <c r="R58" s="1522"/>
      <c r="S58" s="661"/>
      <c r="T58" s="661"/>
      <c r="U58" s="664">
        <v>287</v>
      </c>
      <c r="V58" s="379"/>
      <c r="W58" s="379"/>
      <c r="X58" s="379"/>
      <c r="Y58" s="442"/>
      <c r="AA58" s="92"/>
      <c r="AB58" s="88"/>
      <c r="AC58" s="88"/>
    </row>
    <row r="59" spans="2:27" ht="16.5" customHeight="1">
      <c r="B59" s="185"/>
      <c r="C59" s="111"/>
      <c r="D59" s="617" t="s">
        <v>529</v>
      </c>
      <c r="E59" s="379"/>
      <c r="F59" s="379"/>
      <c r="G59" s="401"/>
      <c r="H59" s="401"/>
      <c r="I59" s="661"/>
      <c r="J59" s="661"/>
      <c r="K59" s="664">
        <v>27</v>
      </c>
      <c r="L59" s="379"/>
      <c r="M59" s="379"/>
      <c r="N59" s="617" t="s">
        <v>529</v>
      </c>
      <c r="O59" s="379"/>
      <c r="P59" s="379"/>
      <c r="Q59" s="401"/>
      <c r="R59" s="401"/>
      <c r="S59" s="661"/>
      <c r="T59" s="661"/>
      <c r="U59" s="664">
        <v>27</v>
      </c>
      <c r="V59" s="379"/>
      <c r="W59" s="379"/>
      <c r="X59" s="379"/>
      <c r="Y59" s="202"/>
      <c r="AA59" s="92"/>
    </row>
    <row r="60" spans="2:27" ht="15" customHeight="1" hidden="1">
      <c r="B60" s="185"/>
      <c r="C60" s="111"/>
      <c r="D60" s="617"/>
      <c r="E60" s="379"/>
      <c r="F60" s="379"/>
      <c r="G60" s="401"/>
      <c r="H60" s="401"/>
      <c r="I60" s="661"/>
      <c r="J60" s="661"/>
      <c r="K60" s="664"/>
      <c r="L60" s="379"/>
      <c r="M60" s="379"/>
      <c r="N60" s="617"/>
      <c r="O60" s="379"/>
      <c r="P60" s="379"/>
      <c r="Q60" s="401"/>
      <c r="R60" s="401"/>
      <c r="S60" s="661"/>
      <c r="T60" s="661"/>
      <c r="U60" s="664"/>
      <c r="V60" s="379"/>
      <c r="W60" s="379"/>
      <c r="X60" s="379"/>
      <c r="Y60" s="202"/>
      <c r="AA60" s="92"/>
    </row>
    <row r="61" spans="2:25" ht="15" customHeight="1" hidden="1">
      <c r="B61" s="185"/>
      <c r="C61" s="111"/>
      <c r="D61" s="617"/>
      <c r="E61" s="379"/>
      <c r="F61" s="379"/>
      <c r="G61" s="401"/>
      <c r="H61" s="401"/>
      <c r="I61" s="661"/>
      <c r="J61" s="661"/>
      <c r="K61" s="664"/>
      <c r="L61" s="379"/>
      <c r="M61" s="379"/>
      <c r="N61" s="617"/>
      <c r="O61" s="379"/>
      <c r="P61" s="379"/>
      <c r="Q61" s="401"/>
      <c r="R61" s="401"/>
      <c r="S61" s="661"/>
      <c r="T61" s="661"/>
      <c r="U61" s="664"/>
      <c r="V61" s="379"/>
      <c r="W61" s="379"/>
      <c r="X61" s="379"/>
      <c r="Y61" s="202"/>
    </row>
    <row r="62" spans="2:25" ht="15" customHeight="1">
      <c r="B62" s="185"/>
      <c r="C62" s="111"/>
      <c r="D62" s="617" t="s">
        <v>298</v>
      </c>
      <c r="E62" s="379"/>
      <c r="F62" s="379"/>
      <c r="G62" s="401"/>
      <c r="H62" s="401"/>
      <c r="I62" s="661">
        <v>33</v>
      </c>
      <c r="J62" s="661"/>
      <c r="K62" s="664"/>
      <c r="L62" s="379"/>
      <c r="M62" s="379"/>
      <c r="N62" s="617" t="s">
        <v>298</v>
      </c>
      <c r="O62" s="379"/>
      <c r="P62" s="379"/>
      <c r="Q62" s="401"/>
      <c r="R62" s="401"/>
      <c r="S62" s="661">
        <v>33</v>
      </c>
      <c r="T62" s="661"/>
      <c r="U62" s="664"/>
      <c r="V62" s="379"/>
      <c r="W62" s="379"/>
      <c r="X62" s="379"/>
      <c r="Y62" s="202"/>
    </row>
    <row r="63" spans="2:25" ht="15" customHeight="1">
      <c r="B63" s="185"/>
      <c r="C63" s="111"/>
      <c r="D63" s="617" t="s">
        <v>493</v>
      </c>
      <c r="E63" s="379"/>
      <c r="F63" s="379"/>
      <c r="G63" s="401"/>
      <c r="H63" s="401"/>
      <c r="I63" s="661">
        <v>20</v>
      </c>
      <c r="J63" s="661"/>
      <c r="K63" s="664"/>
      <c r="L63" s="379"/>
      <c r="M63" s="379"/>
      <c r="N63" s="617" t="s">
        <v>493</v>
      </c>
      <c r="O63" s="379"/>
      <c r="P63" s="379"/>
      <c r="Q63" s="401"/>
      <c r="R63" s="401"/>
      <c r="S63" s="661">
        <v>20</v>
      </c>
      <c r="T63" s="661"/>
      <c r="U63" s="664"/>
      <c r="V63" s="379"/>
      <c r="W63" s="379"/>
      <c r="X63" s="379"/>
      <c r="Y63" s="202"/>
    </row>
    <row r="64" spans="2:25" ht="15" customHeight="1">
      <c r="B64" s="185"/>
      <c r="C64" s="111"/>
      <c r="D64" s="617" t="s">
        <v>494</v>
      </c>
      <c r="E64" s="379"/>
      <c r="F64" s="379"/>
      <c r="G64" s="401"/>
      <c r="H64" s="401"/>
      <c r="I64" s="661"/>
      <c r="J64" s="661"/>
      <c r="K64" s="664">
        <v>-1</v>
      </c>
      <c r="L64" s="379"/>
      <c r="M64" s="379"/>
      <c r="N64" s="617" t="s">
        <v>494</v>
      </c>
      <c r="O64" s="379"/>
      <c r="P64" s="379"/>
      <c r="Q64" s="401"/>
      <c r="R64" s="401"/>
      <c r="S64" s="661">
        <v>-1</v>
      </c>
      <c r="T64" s="661"/>
      <c r="U64" s="664">
        <v>-1</v>
      </c>
      <c r="V64" s="379"/>
      <c r="W64" s="379"/>
      <c r="X64" s="379"/>
      <c r="Y64" s="202"/>
    </row>
    <row r="65" spans="2:25" ht="25.5" customHeight="1">
      <c r="B65" s="185"/>
      <c r="C65" s="111"/>
      <c r="D65" s="905" t="s">
        <v>139</v>
      </c>
      <c r="E65" s="402"/>
      <c r="F65" s="402"/>
      <c r="G65" s="403"/>
      <c r="H65" s="403"/>
      <c r="I65" s="631">
        <v>53</v>
      </c>
      <c r="J65" s="631"/>
      <c r="K65" s="633">
        <v>313</v>
      </c>
      <c r="L65" s="379"/>
      <c r="M65" s="379"/>
      <c r="N65" s="905" t="s">
        <v>139</v>
      </c>
      <c r="O65" s="402"/>
      <c r="P65" s="402"/>
      <c r="Q65" s="403"/>
      <c r="R65" s="403"/>
      <c r="S65" s="631">
        <v>52</v>
      </c>
      <c r="T65" s="631"/>
      <c r="U65" s="633">
        <v>313</v>
      </c>
      <c r="V65" s="379"/>
      <c r="W65" s="379"/>
      <c r="X65" s="379"/>
      <c r="Y65" s="202"/>
    </row>
    <row r="66" spans="2:25" ht="12.75">
      <c r="B66" s="444"/>
      <c r="C66" s="112"/>
      <c r="D66" s="906"/>
      <c r="E66" s="907"/>
      <c r="F66" s="907"/>
      <c r="G66" s="908"/>
      <c r="H66" s="908"/>
      <c r="I66" s="907"/>
      <c r="J66" s="907"/>
      <c r="K66" s="907"/>
      <c r="L66" s="907"/>
      <c r="M66" s="907"/>
      <c r="N66" s="907"/>
      <c r="O66" s="907"/>
      <c r="P66" s="907"/>
      <c r="Q66" s="907"/>
      <c r="R66" s="907"/>
      <c r="S66" s="907"/>
      <c r="T66" s="907"/>
      <c r="U66" s="907"/>
      <c r="V66" s="907"/>
      <c r="W66" s="907"/>
      <c r="X66" s="907"/>
      <c r="Y66" s="445"/>
    </row>
  </sheetData>
  <sheetProtection password="DAD6" sheet="1" formatCells="0" formatColumns="0" formatRows="0" insertColumns="0" insertRows="0" insertHyperlinks="0" deleteColumns="0" deleteRows="0" sort="0" autoFilter="0" pivotTables="0"/>
  <mergeCells count="15">
    <mergeCell ref="N3:S3"/>
    <mergeCell ref="D58:H58"/>
    <mergeCell ref="N58:R58"/>
    <mergeCell ref="D55:W55"/>
    <mergeCell ref="G5:I5"/>
    <mergeCell ref="B1:Y1"/>
    <mergeCell ref="H6:H7"/>
    <mergeCell ref="G6:G7"/>
    <mergeCell ref="D5:E5"/>
    <mergeCell ref="D7:E7"/>
    <mergeCell ref="N7:O7"/>
    <mergeCell ref="I6:I7"/>
    <mergeCell ref="N4:O4"/>
    <mergeCell ref="N5:O5"/>
    <mergeCell ref="D3:L4"/>
  </mergeCells>
  <hyperlinks>
    <hyperlink ref="AA13" location="'Domestic Business Results'!A1" display="Domestic Business Results"/>
    <hyperlink ref="AA14" location="'Domestic Wireline Results'!A1" display="Domestic Wireline Results"/>
    <hyperlink ref="AA15" location="'Domestic Mobile Results'!A1" display="Domestic Mobile Results"/>
    <hyperlink ref="AA16" location="'TIM Brasil Results'!A1" display="TIM Brasil Results"/>
    <hyperlink ref="AA17" location="'European BroadBand'!A1" display="European BroadBand"/>
    <hyperlink ref="AA20" location="'Main Group''s Subsidiries'!A1" display="Main Group's Subsidiaries"/>
    <hyperlink ref="AA9" location="'Key fin data by BU YTD'!A1" display="Key Financial data by BU YTD"/>
    <hyperlink ref="AA21" location="'Analyst Tools'!A1" display="Analyst Tools"/>
    <hyperlink ref="AA22" location="'Historic Data'!A1" display="Historic Data"/>
    <hyperlink ref="AA8" location="'P&amp;L Group by quarter'!A1" display="P&amp;L Group by quarter"/>
    <hyperlink ref="AA10" location="'Key fin. data by BU by quarter'!A1" display="Key Financial data by quarter"/>
    <hyperlink ref="AA7" location="'P&amp;L Group YTD'!A1" display="P&amp;L Group YTD"/>
    <hyperlink ref="AA11" location="'Balance Sheet'!A1" display="Balance Sheet"/>
    <hyperlink ref="AA12" location="'Cashflow Statement'!A1" display="Cashflow Statement"/>
    <hyperlink ref="AA18" location="'1Q Rep&amp;org.'!A1" display="Repoerted &amp; Organic figures"/>
    <hyperlink ref="AA19" location="'3Q Rep&amp;org.'!A1" display="Reported &amp; Organic figures 3Q08 vs 3Q07"/>
    <hyperlink ref="AA23" location="Cover!A1" display="Cover"/>
  </hyperlinks>
  <printOptions horizontalCentered="1" verticalCentered="1"/>
  <pageMargins left="0" right="0" top="0" bottom="0" header="0.5118110236220472" footer="0.31496062992125984"/>
  <pageSetup fitToHeight="2" horizontalDpi="600" verticalDpi="600" orientation="landscape" paperSize="9" scale="52" r:id="rId3"/>
  <drawing r:id="rId1"/>
  <legacyDrawingHF r:id="rId2"/>
</worksheet>
</file>

<file path=xl/worksheets/sheet15.xml><?xml version="1.0" encoding="utf-8"?>
<worksheet xmlns="http://schemas.openxmlformats.org/spreadsheetml/2006/main" xmlns:r="http://schemas.openxmlformats.org/officeDocument/2006/relationships">
  <sheetPr codeName="Foglio12"/>
  <dimension ref="A1:EJ64"/>
  <sheetViews>
    <sheetView showGridLines="0" zoomScaleSheetLayoutView="100" workbookViewId="0" topLeftCell="B1">
      <selection activeCell="B1" sqref="B1:Y1"/>
    </sheetView>
  </sheetViews>
  <sheetFormatPr defaultColWidth="9.140625" defaultRowHeight="12.75"/>
  <cols>
    <col min="1" max="1" width="0.9921875" style="88" customWidth="1"/>
    <col min="2" max="2" width="2.00390625" style="88" customWidth="1"/>
    <col min="3" max="3" width="2.140625" style="88" customWidth="1"/>
    <col min="4" max="4" width="26.7109375" style="88" customWidth="1"/>
    <col min="5" max="5" width="12.421875" style="88" customWidth="1"/>
    <col min="6" max="6" width="1.1484375" style="97" customWidth="1"/>
    <col min="7" max="7" width="16.421875" style="97" customWidth="1"/>
    <col min="8" max="8" width="15.8515625" style="97" customWidth="1"/>
    <col min="9" max="9" width="14.57421875" style="97" customWidth="1"/>
    <col min="10" max="10" width="1.1484375" style="97" customWidth="1"/>
    <col min="11" max="11" width="18.57421875" style="97" bestFit="1" customWidth="1"/>
    <col min="12" max="12" width="1.1484375" style="97" customWidth="1"/>
    <col min="13" max="13" width="1.7109375" style="97" customWidth="1"/>
    <col min="14" max="14" width="25.140625" style="97" customWidth="1"/>
    <col min="15" max="15" width="12.421875" style="97" customWidth="1"/>
    <col min="16" max="16" width="1.1484375" style="97" customWidth="1"/>
    <col min="17" max="17" width="19.57421875" style="97" customWidth="1"/>
    <col min="18" max="18" width="1.1484375" style="97" customWidth="1"/>
    <col min="19" max="19" width="16.8515625" style="97" customWidth="1"/>
    <col min="20" max="20" width="2.57421875" style="97" customWidth="1"/>
    <col min="21" max="21" width="14.00390625" style="97" customWidth="1"/>
    <col min="22" max="22" width="3.140625" style="97" customWidth="1"/>
    <col min="23" max="23" width="14.00390625" style="97" customWidth="1"/>
    <col min="24" max="24" width="2.28125" style="97" customWidth="1"/>
    <col min="25" max="25" width="2.28125" style="88" customWidth="1"/>
    <col min="26" max="26" width="3.140625" style="88" customWidth="1"/>
    <col min="27" max="27" width="33.8515625" style="88" bestFit="1" customWidth="1"/>
    <col min="28" max="28" width="1.421875" style="88" customWidth="1"/>
    <col min="29" max="16384" width="9.140625" style="88" customWidth="1"/>
  </cols>
  <sheetData>
    <row r="1" spans="2:27" ht="38.25" customHeight="1">
      <c r="B1" s="1514" t="s">
        <v>197</v>
      </c>
      <c r="C1" s="1515"/>
      <c r="D1" s="1515"/>
      <c r="E1" s="1515"/>
      <c r="F1" s="1515"/>
      <c r="G1" s="1515"/>
      <c r="H1" s="1515"/>
      <c r="I1" s="1515"/>
      <c r="J1" s="1515"/>
      <c r="K1" s="1515"/>
      <c r="L1" s="1515"/>
      <c r="M1" s="1515"/>
      <c r="N1" s="1515"/>
      <c r="O1" s="1515"/>
      <c r="P1" s="1515"/>
      <c r="Q1" s="1515"/>
      <c r="R1" s="1515"/>
      <c r="S1" s="1515"/>
      <c r="T1" s="1515"/>
      <c r="U1" s="1515"/>
      <c r="V1" s="1515"/>
      <c r="W1" s="1515"/>
      <c r="X1" s="1515"/>
      <c r="Y1" s="1516"/>
      <c r="Z1" s="87"/>
      <c r="AA1" s="456"/>
    </row>
    <row r="2" spans="2:27" ht="34.5" customHeight="1" thickBot="1">
      <c r="B2" s="248"/>
      <c r="C2" s="249"/>
      <c r="D2" s="249"/>
      <c r="E2" s="249"/>
      <c r="F2" s="249"/>
      <c r="G2" s="249"/>
      <c r="H2" s="249"/>
      <c r="I2" s="249"/>
      <c r="J2" s="249"/>
      <c r="K2" s="249"/>
      <c r="L2" s="249"/>
      <c r="M2" s="249"/>
      <c r="N2" s="249"/>
      <c r="O2" s="249"/>
      <c r="P2" s="249"/>
      <c r="Q2" s="249"/>
      <c r="R2" s="249"/>
      <c r="S2" s="249"/>
      <c r="T2" s="249"/>
      <c r="U2" s="249"/>
      <c r="V2" s="249"/>
      <c r="W2" s="249"/>
      <c r="X2" s="249"/>
      <c r="Y2" s="250"/>
      <c r="Z2" s="87"/>
      <c r="AA2" s="457"/>
    </row>
    <row r="3" spans="2:27" s="89" customFormat="1" ht="38.25" thickTop="1">
      <c r="B3" s="98"/>
      <c r="C3" s="240"/>
      <c r="D3" s="1487" t="s">
        <v>143</v>
      </c>
      <c r="E3" s="1470"/>
      <c r="F3" s="1470"/>
      <c r="G3" s="1470"/>
      <c r="H3" s="1470"/>
      <c r="I3" s="1470"/>
      <c r="J3" s="1470"/>
      <c r="K3" s="1470"/>
      <c r="L3" s="1471"/>
      <c r="M3" s="236"/>
      <c r="N3" s="1487" t="s">
        <v>537</v>
      </c>
      <c r="O3" s="1470"/>
      <c r="P3" s="1470"/>
      <c r="Q3" s="1470"/>
      <c r="R3" s="1470"/>
      <c r="S3" s="1471"/>
      <c r="T3" s="236"/>
      <c r="U3" s="244" t="s">
        <v>183</v>
      </c>
      <c r="V3" s="246"/>
      <c r="W3" s="244" t="s">
        <v>184</v>
      </c>
      <c r="X3" s="246"/>
      <c r="Y3" s="99"/>
      <c r="AA3" s="459"/>
    </row>
    <row r="4" spans="2:27" s="90" customFormat="1" ht="10.5" customHeight="1">
      <c r="B4" s="369"/>
      <c r="C4" s="370"/>
      <c r="D4" s="1472"/>
      <c r="E4" s="1473"/>
      <c r="F4" s="1473"/>
      <c r="G4" s="1473"/>
      <c r="H4" s="1473"/>
      <c r="I4" s="1473"/>
      <c r="J4" s="1473"/>
      <c r="K4" s="1473"/>
      <c r="L4" s="1513"/>
      <c r="M4" s="237"/>
      <c r="N4" s="1483"/>
      <c r="O4" s="1484"/>
      <c r="P4" s="107"/>
      <c r="Q4" s="108"/>
      <c r="R4" s="107"/>
      <c r="S4" s="238"/>
      <c r="T4" s="237"/>
      <c r="U4" s="241"/>
      <c r="V4" s="237"/>
      <c r="W4" s="241"/>
      <c r="X4" s="237"/>
      <c r="Y4" s="371"/>
      <c r="AA4" s="458"/>
    </row>
    <row r="5" spans="2:27" ht="27">
      <c r="B5" s="185"/>
      <c r="C5" s="111"/>
      <c r="D5" s="1485" t="s">
        <v>332</v>
      </c>
      <c r="E5" s="1486"/>
      <c r="F5" s="239"/>
      <c r="G5" s="1480" t="s">
        <v>177</v>
      </c>
      <c r="H5" s="1481"/>
      <c r="I5" s="1482"/>
      <c r="J5" s="239"/>
      <c r="K5" s="259" t="s">
        <v>180</v>
      </c>
      <c r="L5" s="1192"/>
      <c r="M5" s="239"/>
      <c r="N5" s="1485" t="s">
        <v>179</v>
      </c>
      <c r="O5" s="1486"/>
      <c r="P5" s="239"/>
      <c r="Q5" s="257" t="s">
        <v>215</v>
      </c>
      <c r="R5" s="239"/>
      <c r="S5" s="261" t="s">
        <v>189</v>
      </c>
      <c r="T5" s="239"/>
      <c r="U5" s="262" t="s">
        <v>186</v>
      </c>
      <c r="V5" s="239"/>
      <c r="W5" s="262" t="s">
        <v>181</v>
      </c>
      <c r="X5" s="239"/>
      <c r="Y5" s="202"/>
      <c r="AA5" s="30" t="s">
        <v>59</v>
      </c>
    </row>
    <row r="6" spans="2:27" s="91" customFormat="1" ht="39" customHeight="1">
      <c r="B6" s="441"/>
      <c r="C6" s="100"/>
      <c r="D6" s="541" t="s">
        <v>11</v>
      </c>
      <c r="E6" s="263"/>
      <c r="F6" s="110"/>
      <c r="G6" s="1517" t="s">
        <v>175</v>
      </c>
      <c r="H6" s="1517" t="s">
        <v>174</v>
      </c>
      <c r="I6" s="1517" t="s">
        <v>216</v>
      </c>
      <c r="J6" s="110"/>
      <c r="K6" s="267"/>
      <c r="L6" s="1192"/>
      <c r="M6" s="110"/>
      <c r="N6" s="541"/>
      <c r="O6" s="263"/>
      <c r="P6" s="110"/>
      <c r="Q6" s="897"/>
      <c r="R6" s="110"/>
      <c r="S6" s="267"/>
      <c r="T6" s="110"/>
      <c r="U6" s="242"/>
      <c r="V6" s="110"/>
      <c r="W6" s="242"/>
      <c r="X6" s="110"/>
      <c r="Y6" s="442"/>
      <c r="AA6" s="31" t="s">
        <v>56</v>
      </c>
    </row>
    <row r="7" spans="2:27" ht="15" customHeight="1">
      <c r="B7" s="185"/>
      <c r="C7" s="111"/>
      <c r="D7" s="1519" t="s">
        <v>0</v>
      </c>
      <c r="E7" s="1520"/>
      <c r="F7" s="270"/>
      <c r="G7" s="1518"/>
      <c r="H7" s="1518"/>
      <c r="I7" s="1518"/>
      <c r="J7" s="270"/>
      <c r="K7" s="269"/>
      <c r="L7" s="1193"/>
      <c r="M7" s="234"/>
      <c r="N7" s="1519" t="s">
        <v>0</v>
      </c>
      <c r="O7" s="1520"/>
      <c r="P7" s="234"/>
      <c r="Q7" s="269"/>
      <c r="R7" s="234"/>
      <c r="S7" s="269"/>
      <c r="T7" s="234"/>
      <c r="U7" s="243"/>
      <c r="V7" s="234"/>
      <c r="W7" s="243"/>
      <c r="X7" s="234"/>
      <c r="Y7" s="202"/>
      <c r="AA7" s="139" t="s">
        <v>206</v>
      </c>
    </row>
    <row r="8" spans="2:27" ht="15" customHeight="1">
      <c r="B8" s="185"/>
      <c r="C8" s="111"/>
      <c r="D8" s="542" t="s">
        <v>7</v>
      </c>
      <c r="E8" s="543">
        <v>5926</v>
      </c>
      <c r="F8" s="544"/>
      <c r="G8" s="544">
        <v>1</v>
      </c>
      <c r="H8" s="544">
        <f>-24-'2Q Rep&amp;org.'!H8-'1Q Rep&amp;org.'!H8</f>
        <v>-5</v>
      </c>
      <c r="I8" s="546"/>
      <c r="J8" s="544"/>
      <c r="K8" s="546">
        <f>+E8+G8+H8</f>
        <v>5922</v>
      </c>
      <c r="L8" s="547"/>
      <c r="M8" s="548"/>
      <c r="N8" s="542" t="s">
        <v>7</v>
      </c>
      <c r="O8" s="543">
        <v>5734</v>
      </c>
      <c r="P8" s="548"/>
      <c r="Q8" s="544"/>
      <c r="R8" s="548"/>
      <c r="S8" s="546">
        <f>+O8+Q8</f>
        <v>5734</v>
      </c>
      <c r="T8" s="548"/>
      <c r="U8" s="549">
        <f>+O8/E8-1</f>
        <v>-0.0323995950050624</v>
      </c>
      <c r="V8" s="548"/>
      <c r="W8" s="549">
        <f>+S8/K8-1</f>
        <v>-0.031746031746031744</v>
      </c>
      <c r="X8" s="548"/>
      <c r="Y8" s="898"/>
      <c r="AA8" s="139" t="s">
        <v>208</v>
      </c>
    </row>
    <row r="9" spans="2:27" ht="15" customHeight="1">
      <c r="B9" s="185"/>
      <c r="C9" s="111"/>
      <c r="D9" s="550" t="s">
        <v>145</v>
      </c>
      <c r="E9" s="551">
        <v>3765</v>
      </c>
      <c r="F9" s="552"/>
      <c r="G9" s="552">
        <v>1</v>
      </c>
      <c r="H9" s="552">
        <f>-24-'2Q Rep&amp;org.'!H9-'1Q Rep&amp;org.'!H9</f>
        <v>-5</v>
      </c>
      <c r="I9" s="554"/>
      <c r="J9" s="552"/>
      <c r="K9" s="554">
        <f>+E9+G9+H9</f>
        <v>3761</v>
      </c>
      <c r="L9" s="555"/>
      <c r="M9" s="548"/>
      <c r="N9" s="550" t="s">
        <v>145</v>
      </c>
      <c r="O9" s="551">
        <v>3643</v>
      </c>
      <c r="P9" s="548"/>
      <c r="Q9" s="552"/>
      <c r="R9" s="548"/>
      <c r="S9" s="554">
        <f aca="true" t="shared" si="0" ref="S9:S16">+O9+Q9</f>
        <v>3643</v>
      </c>
      <c r="T9" s="548"/>
      <c r="U9" s="556">
        <f aca="true" t="shared" si="1" ref="U9:U17">+O9/E9-1</f>
        <v>-0.0324037184594953</v>
      </c>
      <c r="V9" s="548"/>
      <c r="W9" s="556">
        <f>+S9/K9-1</f>
        <v>-0.031374634405743174</v>
      </c>
      <c r="X9" s="548"/>
      <c r="Y9" s="898"/>
      <c r="AA9" s="139" t="s">
        <v>207</v>
      </c>
    </row>
    <row r="10" spans="2:27" ht="15" customHeight="1">
      <c r="B10" s="185"/>
      <c r="C10" s="111"/>
      <c r="D10" s="550" t="s">
        <v>130</v>
      </c>
      <c r="E10" s="551">
        <v>2513</v>
      </c>
      <c r="F10" s="552"/>
      <c r="G10" s="552"/>
      <c r="H10" s="552"/>
      <c r="I10" s="554"/>
      <c r="J10" s="552"/>
      <c r="K10" s="554">
        <f aca="true" t="shared" si="2" ref="K10:K16">+E10+G10+H10</f>
        <v>2513</v>
      </c>
      <c r="L10" s="555"/>
      <c r="M10" s="548"/>
      <c r="N10" s="550" t="s">
        <v>130</v>
      </c>
      <c r="O10" s="551">
        <v>2451</v>
      </c>
      <c r="P10" s="548"/>
      <c r="Q10" s="554"/>
      <c r="R10" s="548"/>
      <c r="S10" s="554">
        <f t="shared" si="0"/>
        <v>2451</v>
      </c>
      <c r="T10" s="548"/>
      <c r="U10" s="556">
        <f t="shared" si="1"/>
        <v>-0.02467170712296063</v>
      </c>
      <c r="V10" s="548"/>
      <c r="W10" s="556">
        <f aca="true" t="shared" si="3" ref="W10:W15">+S10/K10-1</f>
        <v>-0.02467170712296063</v>
      </c>
      <c r="X10" s="548"/>
      <c r="Y10" s="898"/>
      <c r="AA10" s="139" t="s">
        <v>223</v>
      </c>
    </row>
    <row r="11" spans="2:27" ht="15" customHeight="1">
      <c r="B11" s="185"/>
      <c r="C11" s="111"/>
      <c r="D11" s="557" t="s">
        <v>8</v>
      </c>
      <c r="E11" s="558">
        <v>312</v>
      </c>
      <c r="F11" s="552"/>
      <c r="G11" s="552">
        <f>68-'2Q Rep&amp;org.'!G11-'1Q Rep&amp;org.'!G11</f>
        <v>0</v>
      </c>
      <c r="H11" s="552"/>
      <c r="I11" s="560"/>
      <c r="J11" s="552"/>
      <c r="K11" s="554">
        <f t="shared" si="2"/>
        <v>312</v>
      </c>
      <c r="L11" s="555"/>
      <c r="M11" s="548"/>
      <c r="N11" s="557" t="s">
        <v>8</v>
      </c>
      <c r="O11" s="558">
        <v>319</v>
      </c>
      <c r="P11" s="548"/>
      <c r="Q11" s="560"/>
      <c r="R11" s="548"/>
      <c r="S11" s="554">
        <f t="shared" si="0"/>
        <v>319</v>
      </c>
      <c r="T11" s="548"/>
      <c r="U11" s="556">
        <f t="shared" si="1"/>
        <v>0.022435897435897356</v>
      </c>
      <c r="V11" s="548"/>
      <c r="W11" s="556">
        <f t="shared" si="3"/>
        <v>0.022435897435897356</v>
      </c>
      <c r="X11" s="548"/>
      <c r="Y11" s="202"/>
      <c r="AA11" s="139" t="s">
        <v>310</v>
      </c>
    </row>
    <row r="12" spans="2:27" ht="15" customHeight="1">
      <c r="B12" s="185"/>
      <c r="C12" s="111"/>
      <c r="D12" s="557" t="s">
        <v>31</v>
      </c>
      <c r="E12" s="558">
        <v>1281</v>
      </c>
      <c r="F12" s="552"/>
      <c r="G12" s="552"/>
      <c r="H12" s="552">
        <f>190-'2Q Rep&amp;org.'!H12-'1Q Rep&amp;org.'!H12</f>
        <v>74</v>
      </c>
      <c r="I12" s="560"/>
      <c r="J12" s="552"/>
      <c r="K12" s="554">
        <f t="shared" si="2"/>
        <v>1355</v>
      </c>
      <c r="L12" s="555"/>
      <c r="M12" s="548"/>
      <c r="N12" s="557" t="s">
        <v>31</v>
      </c>
      <c r="O12" s="558">
        <v>1436</v>
      </c>
      <c r="P12" s="548"/>
      <c r="Q12" s="560"/>
      <c r="R12" s="548"/>
      <c r="S12" s="554">
        <f t="shared" si="0"/>
        <v>1436</v>
      </c>
      <c r="T12" s="548"/>
      <c r="U12" s="556">
        <f t="shared" si="1"/>
        <v>0.12099921935987501</v>
      </c>
      <c r="V12" s="548"/>
      <c r="W12" s="556">
        <f t="shared" si="3"/>
        <v>0.05977859778597794</v>
      </c>
      <c r="X12" s="548"/>
      <c r="Y12" s="202"/>
      <c r="AA12" s="139" t="s">
        <v>311</v>
      </c>
    </row>
    <row r="13" spans="2:27" ht="15" customHeight="1">
      <c r="B13" s="185"/>
      <c r="C13" s="111"/>
      <c r="D13" s="557" t="s">
        <v>89</v>
      </c>
      <c r="E13" s="558">
        <v>53</v>
      </c>
      <c r="F13" s="552"/>
      <c r="G13" s="552"/>
      <c r="H13" s="552"/>
      <c r="I13" s="560"/>
      <c r="J13" s="552"/>
      <c r="K13" s="554">
        <f t="shared" si="2"/>
        <v>53</v>
      </c>
      <c r="L13" s="555"/>
      <c r="M13" s="548"/>
      <c r="N13" s="557" t="s">
        <v>89</v>
      </c>
      <c r="O13" s="558">
        <v>62</v>
      </c>
      <c r="P13" s="548"/>
      <c r="Q13" s="560"/>
      <c r="R13" s="548"/>
      <c r="S13" s="554">
        <f t="shared" si="0"/>
        <v>62</v>
      </c>
      <c r="T13" s="548"/>
      <c r="U13" s="556">
        <f t="shared" si="1"/>
        <v>0.16981132075471694</v>
      </c>
      <c r="V13" s="548"/>
      <c r="W13" s="556">
        <f t="shared" si="3"/>
        <v>0.16981132075471694</v>
      </c>
      <c r="X13" s="548"/>
      <c r="Y13" s="202"/>
      <c r="AA13" s="139" t="s">
        <v>12</v>
      </c>
    </row>
    <row r="14" spans="2:27" ht="15" customHeight="1">
      <c r="B14" s="185"/>
      <c r="C14" s="111"/>
      <c r="D14" s="557" t="s">
        <v>9</v>
      </c>
      <c r="E14" s="558">
        <v>91</v>
      </c>
      <c r="F14" s="552"/>
      <c r="G14" s="552">
        <f>-9-'2Q Rep&amp;org.'!G14-'1Q Rep&amp;org.'!G14</f>
        <v>-3</v>
      </c>
      <c r="H14" s="552">
        <f>-6-'2Q Rep&amp;org.'!H14-'1Q Rep&amp;org.'!H14</f>
        <v>-1</v>
      </c>
      <c r="I14" s="560"/>
      <c r="J14" s="552"/>
      <c r="K14" s="554">
        <f t="shared" si="2"/>
        <v>87</v>
      </c>
      <c r="L14" s="555"/>
      <c r="M14" s="548"/>
      <c r="N14" s="557" t="s">
        <v>9</v>
      </c>
      <c r="O14" s="558">
        <v>72</v>
      </c>
      <c r="P14" s="548"/>
      <c r="Q14" s="560"/>
      <c r="R14" s="548"/>
      <c r="S14" s="554">
        <f t="shared" si="0"/>
        <v>72</v>
      </c>
      <c r="T14" s="548"/>
      <c r="U14" s="556">
        <f t="shared" si="1"/>
        <v>-0.20879120879120883</v>
      </c>
      <c r="V14" s="548"/>
      <c r="W14" s="556">
        <f t="shared" si="3"/>
        <v>-0.1724137931034483</v>
      </c>
      <c r="X14" s="548"/>
      <c r="Y14" s="202"/>
      <c r="AA14" s="139" t="s">
        <v>220</v>
      </c>
    </row>
    <row r="15" spans="2:27" ht="15" customHeight="1">
      <c r="B15" s="185"/>
      <c r="C15" s="111"/>
      <c r="D15" s="557" t="s">
        <v>187</v>
      </c>
      <c r="E15" s="558">
        <v>57</v>
      </c>
      <c r="F15" s="552"/>
      <c r="G15" s="552">
        <f>-100-'2Q Rep&amp;org.'!G15-'1Q Rep&amp;org.'!G15</f>
        <v>-54</v>
      </c>
      <c r="H15" s="552">
        <f>-5-'2Q Rep&amp;org.'!H15-'1Q Rep&amp;org.'!H15</f>
        <v>0</v>
      </c>
      <c r="I15" s="560"/>
      <c r="J15" s="552"/>
      <c r="K15" s="554">
        <f t="shared" si="2"/>
        <v>3</v>
      </c>
      <c r="L15" s="555"/>
      <c r="M15" s="548"/>
      <c r="N15" s="557" t="s">
        <v>187</v>
      </c>
      <c r="O15" s="558">
        <v>16</v>
      </c>
      <c r="P15" s="548"/>
      <c r="Q15" s="560"/>
      <c r="R15" s="548"/>
      <c r="S15" s="554">
        <f t="shared" si="0"/>
        <v>16</v>
      </c>
      <c r="T15" s="548"/>
      <c r="U15" s="556">
        <f t="shared" si="1"/>
        <v>-0.7192982456140351</v>
      </c>
      <c r="V15" s="548"/>
      <c r="W15" s="556">
        <f t="shared" si="3"/>
        <v>4.333333333333333</v>
      </c>
      <c r="X15" s="548"/>
      <c r="Y15" s="202"/>
      <c r="AA15" s="139" t="s">
        <v>221</v>
      </c>
    </row>
    <row r="16" spans="2:27" ht="15" customHeight="1">
      <c r="B16" s="185"/>
      <c r="C16" s="111"/>
      <c r="D16" s="557" t="s">
        <v>188</v>
      </c>
      <c r="E16" s="561">
        <v>-53</v>
      </c>
      <c r="F16" s="552"/>
      <c r="G16" s="552">
        <v>1</v>
      </c>
      <c r="H16" s="552"/>
      <c r="I16" s="560"/>
      <c r="J16" s="552"/>
      <c r="K16" s="561">
        <f t="shared" si="2"/>
        <v>-52</v>
      </c>
      <c r="L16" s="555"/>
      <c r="M16" s="548"/>
      <c r="N16" s="557" t="s">
        <v>188</v>
      </c>
      <c r="O16" s="561">
        <v>-78</v>
      </c>
      <c r="P16" s="548"/>
      <c r="Q16" s="560"/>
      <c r="R16" s="548"/>
      <c r="S16" s="554">
        <f t="shared" si="0"/>
        <v>-78</v>
      </c>
      <c r="T16" s="548"/>
      <c r="U16" s="556">
        <f t="shared" si="1"/>
        <v>0.47169811320754707</v>
      </c>
      <c r="V16" s="548"/>
      <c r="W16" s="556"/>
      <c r="X16" s="548"/>
      <c r="Y16" s="202"/>
      <c r="AA16" s="139" t="s">
        <v>222</v>
      </c>
    </row>
    <row r="17" spans="2:27" ht="15" customHeight="1">
      <c r="B17" s="185"/>
      <c r="C17" s="111"/>
      <c r="D17" s="272" t="s">
        <v>10</v>
      </c>
      <c r="E17" s="273">
        <f>+SUM(E8,E11:E16)</f>
        <v>7667</v>
      </c>
      <c r="F17" s="562"/>
      <c r="G17" s="381">
        <f>+SUM(G9:G16)</f>
        <v>-55</v>
      </c>
      <c r="H17" s="275">
        <f>+SUM(H9:H16)</f>
        <v>68</v>
      </c>
      <c r="I17" s="274"/>
      <c r="J17" s="562"/>
      <c r="K17" s="274">
        <f>+E17+G17+H17</f>
        <v>7680</v>
      </c>
      <c r="L17" s="555"/>
      <c r="M17" s="548"/>
      <c r="N17" s="272" t="s">
        <v>10</v>
      </c>
      <c r="O17" s="273">
        <f>+SUM(O8,O11:O16)</f>
        <v>7561</v>
      </c>
      <c r="P17" s="548"/>
      <c r="Q17" s="381"/>
      <c r="R17" s="548"/>
      <c r="S17" s="274">
        <f>+O17+Q17</f>
        <v>7561</v>
      </c>
      <c r="T17" s="548"/>
      <c r="U17" s="277">
        <f t="shared" si="1"/>
        <v>-0.013825485848441343</v>
      </c>
      <c r="V17" s="548"/>
      <c r="W17" s="277">
        <f>+S17/K17-1</f>
        <v>-0.015494791666666674</v>
      </c>
      <c r="X17" s="548"/>
      <c r="Y17" s="202"/>
      <c r="AA17" s="139" t="s">
        <v>8</v>
      </c>
    </row>
    <row r="18" spans="2:27" ht="12.75">
      <c r="B18" s="185"/>
      <c r="C18" s="111"/>
      <c r="D18" s="564"/>
      <c r="E18" s="565"/>
      <c r="F18" s="548"/>
      <c r="G18" s="1451"/>
      <c r="H18" s="1451"/>
      <c r="I18" s="566"/>
      <c r="J18" s="548"/>
      <c r="K18" s="1452"/>
      <c r="L18" s="568"/>
      <c r="M18" s="100"/>
      <c r="N18" s="564"/>
      <c r="O18" s="1453"/>
      <c r="P18" s="548"/>
      <c r="Q18" s="566"/>
      <c r="R18" s="548"/>
      <c r="S18" s="1452"/>
      <c r="T18" s="100"/>
      <c r="U18" s="569"/>
      <c r="V18" s="100"/>
      <c r="W18" s="569"/>
      <c r="X18" s="100"/>
      <c r="Y18" s="202"/>
      <c r="AA18" s="139" t="s">
        <v>534</v>
      </c>
    </row>
    <row r="19" spans="2:27" ht="15" customHeight="1">
      <c r="B19" s="185"/>
      <c r="C19" s="111"/>
      <c r="D19" s="258" t="s">
        <v>45</v>
      </c>
      <c r="E19" s="376"/>
      <c r="F19" s="234"/>
      <c r="G19" s="279"/>
      <c r="H19" s="279"/>
      <c r="I19" s="377"/>
      <c r="J19" s="234"/>
      <c r="K19" s="377"/>
      <c r="L19" s="378"/>
      <c r="M19" s="234"/>
      <c r="N19" s="258" t="s">
        <v>45</v>
      </c>
      <c r="O19" s="376"/>
      <c r="P19" s="234"/>
      <c r="Q19" s="377"/>
      <c r="R19" s="234"/>
      <c r="S19" s="377"/>
      <c r="T19" s="234"/>
      <c r="U19" s="243"/>
      <c r="V19" s="234"/>
      <c r="W19" s="243"/>
      <c r="X19" s="234"/>
      <c r="Y19" s="202"/>
      <c r="AA19" s="139" t="s">
        <v>535</v>
      </c>
    </row>
    <row r="20" spans="2:27" ht="15" customHeight="1">
      <c r="B20" s="185"/>
      <c r="C20" s="111"/>
      <c r="D20" s="542" t="s">
        <v>7</v>
      </c>
      <c r="E20" s="543">
        <v>2821</v>
      </c>
      <c r="F20" s="573"/>
      <c r="G20" s="544">
        <f>8-'2Q Rep&amp;org.'!G20-'1Q Rep&amp;org.'!G20</f>
        <v>3</v>
      </c>
      <c r="H20" s="544">
        <f>-7-'2Q Rep&amp;org.'!H20-'1Q Rep&amp;org.'!H20</f>
        <v>-4</v>
      </c>
      <c r="I20" s="544"/>
      <c r="J20" s="573"/>
      <c r="K20" s="544">
        <f>+E20+G20+H20+I20</f>
        <v>2820</v>
      </c>
      <c r="L20" s="575"/>
      <c r="M20" s="548"/>
      <c r="N20" s="542" t="s">
        <v>7</v>
      </c>
      <c r="O20" s="543">
        <v>2682</v>
      </c>
      <c r="P20" s="548"/>
      <c r="Q20" s="544">
        <f>335-'2Q Rep&amp;org.'!Q20-'1Q Rep&amp;org.'!Q20</f>
        <v>10</v>
      </c>
      <c r="R20" s="548"/>
      <c r="S20" s="544">
        <f aca="true" t="shared" si="4" ref="S20:S27">+O20+Q20</f>
        <v>2692</v>
      </c>
      <c r="T20" s="548"/>
      <c r="U20" s="549">
        <f>+O20/E20-1</f>
        <v>-0.049273307337823424</v>
      </c>
      <c r="V20" s="548"/>
      <c r="W20" s="549">
        <f aca="true" t="shared" si="5" ref="W20:W25">+S20/K20-1</f>
        <v>-0.04539007092198577</v>
      </c>
      <c r="X20" s="548"/>
      <c r="Y20" s="898"/>
      <c r="AA20" s="139" t="s">
        <v>109</v>
      </c>
    </row>
    <row r="21" spans="2:27" ht="15" customHeight="1">
      <c r="B21" s="185"/>
      <c r="C21" s="111"/>
      <c r="D21" s="557" t="s">
        <v>8</v>
      </c>
      <c r="E21" s="558">
        <v>84</v>
      </c>
      <c r="F21" s="548"/>
      <c r="G21" s="552">
        <f>7-'2Q Rep&amp;org.'!G21-'1Q Rep&amp;org.'!G21</f>
        <v>0</v>
      </c>
      <c r="H21" s="552"/>
      <c r="I21" s="552"/>
      <c r="J21" s="548"/>
      <c r="K21" s="552">
        <f aca="true" t="shared" si="6" ref="K21:K26">+E21+G21+H21</f>
        <v>84</v>
      </c>
      <c r="L21" s="575"/>
      <c r="M21" s="575"/>
      <c r="N21" s="557" t="s">
        <v>8</v>
      </c>
      <c r="O21" s="558">
        <v>73</v>
      </c>
      <c r="P21" s="548"/>
      <c r="Q21" s="552"/>
      <c r="R21" s="548"/>
      <c r="S21" s="552">
        <f t="shared" si="4"/>
        <v>73</v>
      </c>
      <c r="T21" s="548"/>
      <c r="U21" s="556"/>
      <c r="V21" s="548"/>
      <c r="W21" s="556">
        <f t="shared" si="5"/>
        <v>-0.13095238095238093</v>
      </c>
      <c r="X21" s="548"/>
      <c r="Y21" s="898"/>
      <c r="AA21" s="139" t="s">
        <v>157</v>
      </c>
    </row>
    <row r="22" spans="2:29" ht="15" customHeight="1">
      <c r="B22" s="185"/>
      <c r="C22" s="111"/>
      <c r="D22" s="557" t="s">
        <v>31</v>
      </c>
      <c r="E22" s="558">
        <v>239</v>
      </c>
      <c r="F22" s="548"/>
      <c r="G22" s="552"/>
      <c r="H22" s="552">
        <f>42-'2Q Rep&amp;org.'!H22-'1Q Rep&amp;org.'!H22</f>
        <v>18</v>
      </c>
      <c r="I22" s="552"/>
      <c r="J22" s="548"/>
      <c r="K22" s="552">
        <f t="shared" si="6"/>
        <v>257</v>
      </c>
      <c r="L22" s="575"/>
      <c r="M22" s="575"/>
      <c r="N22" s="557" t="s">
        <v>31</v>
      </c>
      <c r="O22" s="558">
        <v>354</v>
      </c>
      <c r="P22" s="548"/>
      <c r="Q22" s="552"/>
      <c r="R22" s="548"/>
      <c r="S22" s="552">
        <f t="shared" si="4"/>
        <v>354</v>
      </c>
      <c r="T22" s="548"/>
      <c r="U22" s="556">
        <f aca="true" t="shared" si="7" ref="U22:U27">+O22/E22-1</f>
        <v>0.4811715481171548</v>
      </c>
      <c r="V22" s="548"/>
      <c r="W22" s="556">
        <f t="shared" si="5"/>
        <v>0.377431906614786</v>
      </c>
      <c r="X22" s="548"/>
      <c r="Y22" s="898"/>
      <c r="AA22" s="1469" t="s">
        <v>382</v>
      </c>
      <c r="AB22" s="95"/>
      <c r="AC22" s="95"/>
    </row>
    <row r="23" spans="2:140" ht="15" customHeight="1">
      <c r="B23" s="185"/>
      <c r="C23" s="111"/>
      <c r="D23" s="557" t="s">
        <v>89</v>
      </c>
      <c r="E23" s="561">
        <v>-17</v>
      </c>
      <c r="F23" s="548"/>
      <c r="G23" s="552"/>
      <c r="H23" s="552"/>
      <c r="I23" s="552"/>
      <c r="J23" s="548"/>
      <c r="K23" s="552">
        <f t="shared" si="6"/>
        <v>-17</v>
      </c>
      <c r="L23" s="380"/>
      <c r="M23" s="380"/>
      <c r="N23" s="557" t="s">
        <v>89</v>
      </c>
      <c r="O23" s="561">
        <v>-10</v>
      </c>
      <c r="P23" s="548"/>
      <c r="Q23" s="552"/>
      <c r="R23" s="548"/>
      <c r="S23" s="552">
        <f t="shared" si="4"/>
        <v>-10</v>
      </c>
      <c r="T23" s="379"/>
      <c r="U23" s="556">
        <f t="shared" si="7"/>
        <v>-0.4117647058823529</v>
      </c>
      <c r="V23" s="379"/>
      <c r="W23" s="556">
        <f t="shared" si="5"/>
        <v>-0.4117647058823529</v>
      </c>
      <c r="X23" s="379"/>
      <c r="Y23" s="898"/>
      <c r="AA23" s="162" t="s">
        <v>312</v>
      </c>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row>
    <row r="24" spans="2:140" ht="15" customHeight="1">
      <c r="B24" s="185"/>
      <c r="C24" s="111"/>
      <c r="D24" s="557" t="s">
        <v>9</v>
      </c>
      <c r="E24" s="561">
        <v>-4</v>
      </c>
      <c r="F24" s="548"/>
      <c r="G24" s="552">
        <f>-7-'2Q Rep&amp;org.'!G24-'1Q Rep&amp;org.'!G24</f>
        <v>-2</v>
      </c>
      <c r="H24" s="552">
        <f>-4-'2Q Rep&amp;org.'!H24-'1Q Rep&amp;org.'!H24</f>
        <v>0</v>
      </c>
      <c r="I24" s="552"/>
      <c r="J24" s="548"/>
      <c r="K24" s="552">
        <f t="shared" si="6"/>
        <v>-6</v>
      </c>
      <c r="L24" s="575"/>
      <c r="M24" s="575"/>
      <c r="N24" s="557" t="s">
        <v>9</v>
      </c>
      <c r="O24" s="561">
        <v>-11</v>
      </c>
      <c r="P24" s="548"/>
      <c r="Q24" s="552"/>
      <c r="R24" s="548"/>
      <c r="S24" s="552">
        <f t="shared" si="4"/>
        <v>-11</v>
      </c>
      <c r="T24" s="548"/>
      <c r="U24" s="556">
        <f t="shared" si="7"/>
        <v>1.75</v>
      </c>
      <c r="V24" s="548"/>
      <c r="W24" s="556">
        <f t="shared" si="5"/>
        <v>0.8333333333333333</v>
      </c>
      <c r="X24" s="548"/>
      <c r="Y24" s="898"/>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row>
    <row r="25" spans="1:140" ht="15" customHeight="1">
      <c r="A25" s="571"/>
      <c r="B25" s="185"/>
      <c r="C25" s="111"/>
      <c r="D25" s="557" t="s">
        <v>187</v>
      </c>
      <c r="E25" s="558">
        <v>25</v>
      </c>
      <c r="F25" s="548"/>
      <c r="G25" s="552">
        <f>-47-'2Q Rep&amp;org.'!G25-'1Q Rep&amp;org.'!G25</f>
        <v>-27</v>
      </c>
      <c r="H25" s="552">
        <f>-2-'2Q Rep&amp;org.'!H25-'1Q Rep&amp;org.'!H25</f>
        <v>0</v>
      </c>
      <c r="I25" s="552"/>
      <c r="J25" s="548"/>
      <c r="K25" s="552">
        <f t="shared" si="6"/>
        <v>-2</v>
      </c>
      <c r="L25" s="575"/>
      <c r="M25" s="575"/>
      <c r="N25" s="557" t="s">
        <v>187</v>
      </c>
      <c r="O25" s="561">
        <v>-2</v>
      </c>
      <c r="P25" s="548"/>
      <c r="Q25" s="552"/>
      <c r="R25" s="548"/>
      <c r="S25" s="552">
        <f t="shared" si="4"/>
        <v>-2</v>
      </c>
      <c r="T25" s="548"/>
      <c r="U25" s="556">
        <f t="shared" si="7"/>
        <v>-1.08</v>
      </c>
      <c r="V25" s="548"/>
      <c r="W25" s="556">
        <f t="shared" si="5"/>
        <v>0</v>
      </c>
      <c r="X25" s="548"/>
      <c r="Y25" s="898"/>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row>
    <row r="26" spans="1:140" ht="15" customHeight="1">
      <c r="A26" s="571"/>
      <c r="B26" s="185"/>
      <c r="C26" s="111"/>
      <c r="D26" s="619" t="s">
        <v>188</v>
      </c>
      <c r="E26" s="561">
        <v>1</v>
      </c>
      <c r="F26" s="548"/>
      <c r="G26" s="552"/>
      <c r="H26" s="552"/>
      <c r="I26" s="552"/>
      <c r="J26" s="548"/>
      <c r="K26" s="552">
        <f t="shared" si="6"/>
        <v>1</v>
      </c>
      <c r="L26" s="575"/>
      <c r="M26" s="575"/>
      <c r="N26" s="619" t="s">
        <v>188</v>
      </c>
      <c r="O26" s="561">
        <v>1</v>
      </c>
      <c r="P26" s="548"/>
      <c r="Q26" s="552"/>
      <c r="R26" s="548"/>
      <c r="S26" s="552">
        <f t="shared" si="4"/>
        <v>1</v>
      </c>
      <c r="T26" s="548"/>
      <c r="U26" s="556">
        <f t="shared" si="7"/>
        <v>0</v>
      </c>
      <c r="V26" s="548"/>
      <c r="W26" s="556"/>
      <c r="X26" s="548"/>
      <c r="Y26" s="898"/>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row>
    <row r="27" spans="1:140" ht="15" customHeight="1">
      <c r="A27" s="571"/>
      <c r="B27" s="185"/>
      <c r="C27" s="1397"/>
      <c r="D27" s="272" t="s">
        <v>10</v>
      </c>
      <c r="E27" s="273">
        <f>+SUM(E20:E26)</f>
        <v>3149</v>
      </c>
      <c r="F27" s="579"/>
      <c r="G27" s="381">
        <f>+SUM(G20:G26)</f>
        <v>-26</v>
      </c>
      <c r="H27" s="381">
        <f>+SUM(H20:H26)</f>
        <v>14</v>
      </c>
      <c r="I27" s="275"/>
      <c r="J27" s="579"/>
      <c r="K27" s="275">
        <f>+E27+G27+H27+I27</f>
        <v>3137</v>
      </c>
      <c r="L27" s="575"/>
      <c r="M27" s="575"/>
      <c r="N27" s="272" t="s">
        <v>10</v>
      </c>
      <c r="O27" s="273">
        <f>+SUM(O20:O26)</f>
        <v>3087</v>
      </c>
      <c r="P27" s="548"/>
      <c r="Q27" s="381">
        <f>+Q20</f>
        <v>10</v>
      </c>
      <c r="R27" s="548"/>
      <c r="S27" s="275">
        <f t="shared" si="4"/>
        <v>3097</v>
      </c>
      <c r="T27" s="548"/>
      <c r="U27" s="277">
        <f t="shared" si="7"/>
        <v>-0.01968879009209268</v>
      </c>
      <c r="V27" s="548"/>
      <c r="W27" s="277">
        <f>+S27/K27-1</f>
        <v>-0.01275103602167671</v>
      </c>
      <c r="X27" s="548"/>
      <c r="Y27" s="202"/>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row>
    <row r="28" spans="1:140" s="668" customFormat="1" ht="15" customHeight="1">
      <c r="A28" s="571"/>
      <c r="B28" s="185"/>
      <c r="C28" s="568"/>
      <c r="D28" s="581"/>
      <c r="E28" s="600"/>
      <c r="F28" s="548"/>
      <c r="G28" s="552"/>
      <c r="H28" s="577"/>
      <c r="I28" s="552"/>
      <c r="J28" s="548"/>
      <c r="K28" s="552"/>
      <c r="L28" s="575"/>
      <c r="M28" s="575"/>
      <c r="N28" s="581"/>
      <c r="O28" s="561"/>
      <c r="P28" s="573"/>
      <c r="Q28" s="552"/>
      <c r="R28" s="573"/>
      <c r="S28" s="544"/>
      <c r="T28" s="548"/>
      <c r="U28" s="578"/>
      <c r="V28" s="548"/>
      <c r="W28" s="578"/>
      <c r="X28" s="548"/>
      <c r="Y28" s="202"/>
      <c r="Z28" s="95"/>
      <c r="AA28" s="88"/>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row>
    <row r="29" spans="1:140" ht="15" customHeight="1">
      <c r="A29" s="571"/>
      <c r="B29" s="185"/>
      <c r="C29" s="111"/>
      <c r="D29" s="258" t="s">
        <v>67</v>
      </c>
      <c r="E29" s="583"/>
      <c r="F29" s="548"/>
      <c r="G29" s="577"/>
      <c r="H29" s="577"/>
      <c r="I29" s="552"/>
      <c r="J29" s="548"/>
      <c r="K29" s="552"/>
      <c r="L29" s="575"/>
      <c r="M29" s="575"/>
      <c r="N29" s="258" t="s">
        <v>67</v>
      </c>
      <c r="O29" s="583"/>
      <c r="P29" s="548"/>
      <c r="Q29" s="552"/>
      <c r="R29" s="548"/>
      <c r="S29" s="552"/>
      <c r="T29" s="548"/>
      <c r="U29" s="578"/>
      <c r="V29" s="548"/>
      <c r="W29" s="578"/>
      <c r="X29" s="548"/>
      <c r="Y29" s="202"/>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row>
    <row r="30" spans="1:140" ht="15" customHeight="1">
      <c r="A30" s="571"/>
      <c r="B30" s="185"/>
      <c r="C30" s="111"/>
      <c r="D30" s="542" t="s">
        <v>7</v>
      </c>
      <c r="E30" s="584">
        <f>+E20/$E$8</f>
        <v>0.4760377995275059</v>
      </c>
      <c r="F30" s="573"/>
      <c r="G30" s="585"/>
      <c r="H30" s="585"/>
      <c r="I30" s="544"/>
      <c r="J30" s="573"/>
      <c r="K30" s="586">
        <f>+K20/$K$8</f>
        <v>0.47619047619047616</v>
      </c>
      <c r="L30" s="575"/>
      <c r="M30" s="575"/>
      <c r="N30" s="542" t="s">
        <v>7</v>
      </c>
      <c r="O30" s="584">
        <f>+O20/$O$8</f>
        <v>0.4677363097314266</v>
      </c>
      <c r="P30" s="548"/>
      <c r="Q30" s="544"/>
      <c r="R30" s="548"/>
      <c r="S30" s="586">
        <f>+S20/$S$8</f>
        <v>0.4694802929891873</v>
      </c>
      <c r="T30" s="548"/>
      <c r="U30" s="587">
        <f aca="true" t="shared" si="8" ref="U30:U35">+(O30-E30)*100</f>
        <v>-0.8301489796079309</v>
      </c>
      <c r="V30" s="548"/>
      <c r="W30" s="587">
        <f aca="true" t="shared" si="9" ref="W30:W35">+(S30-K30)*100</f>
        <v>-0.6710183201288855</v>
      </c>
      <c r="X30" s="548"/>
      <c r="Y30" s="202"/>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row>
    <row r="31" spans="2:25" ht="15" customHeight="1">
      <c r="B31" s="185"/>
      <c r="C31" s="111"/>
      <c r="D31" s="557" t="s">
        <v>8</v>
      </c>
      <c r="E31" s="588">
        <f>+E21/$E$11</f>
        <v>0.2692307692307692</v>
      </c>
      <c r="F31" s="548"/>
      <c r="G31" s="577"/>
      <c r="H31" s="577"/>
      <c r="I31" s="552"/>
      <c r="J31" s="548"/>
      <c r="K31" s="589">
        <f>+K21/$K$11</f>
        <v>0.2692307692307692</v>
      </c>
      <c r="L31" s="575"/>
      <c r="M31" s="548"/>
      <c r="N31" s="557" t="s">
        <v>8</v>
      </c>
      <c r="O31" s="588">
        <f>+O21/$O$11</f>
        <v>0.22884012539184953</v>
      </c>
      <c r="P31" s="548"/>
      <c r="Q31" s="552"/>
      <c r="R31" s="548"/>
      <c r="S31" s="589">
        <f>+S21/$S$11</f>
        <v>0.22884012539184953</v>
      </c>
      <c r="T31" s="548"/>
      <c r="U31" s="590">
        <f t="shared" si="8"/>
        <v>-4.039064383891969</v>
      </c>
      <c r="V31" s="548"/>
      <c r="W31" s="590">
        <f t="shared" si="9"/>
        <v>-4.039064383891969</v>
      </c>
      <c r="X31" s="548"/>
      <c r="Y31" s="202"/>
    </row>
    <row r="32" spans="2:25" ht="15" customHeight="1">
      <c r="B32" s="185"/>
      <c r="C32" s="111"/>
      <c r="D32" s="557" t="s">
        <v>31</v>
      </c>
      <c r="E32" s="588">
        <f>+E22/$E$12</f>
        <v>0.1865729898516784</v>
      </c>
      <c r="F32" s="379"/>
      <c r="G32" s="280"/>
      <c r="H32" s="280"/>
      <c r="I32" s="383"/>
      <c r="J32" s="379"/>
      <c r="K32" s="589">
        <f>+K22/$K$12</f>
        <v>0.1896678966789668</v>
      </c>
      <c r="L32" s="380"/>
      <c r="M32" s="379"/>
      <c r="N32" s="557" t="s">
        <v>31</v>
      </c>
      <c r="O32" s="588">
        <f>+O22/$O$12</f>
        <v>0.24651810584958217</v>
      </c>
      <c r="P32" s="379"/>
      <c r="Q32" s="383"/>
      <c r="R32" s="379"/>
      <c r="S32" s="589">
        <f>+S22/$S$12</f>
        <v>0.24651810584958217</v>
      </c>
      <c r="T32" s="379"/>
      <c r="U32" s="590">
        <f t="shared" si="8"/>
        <v>5.994511599790378</v>
      </c>
      <c r="V32" s="379"/>
      <c r="W32" s="590">
        <f t="shared" si="9"/>
        <v>5.685020917061537</v>
      </c>
      <c r="X32" s="379"/>
      <c r="Y32" s="202"/>
    </row>
    <row r="33" spans="2:25" ht="15" customHeight="1">
      <c r="B33" s="185"/>
      <c r="C33" s="111"/>
      <c r="D33" s="557" t="s">
        <v>89</v>
      </c>
      <c r="E33" s="588">
        <f>+E23/$E$13</f>
        <v>-0.32075471698113206</v>
      </c>
      <c r="F33" s="379"/>
      <c r="G33" s="280"/>
      <c r="H33" s="280"/>
      <c r="I33" s="383"/>
      <c r="J33" s="379"/>
      <c r="K33" s="589">
        <f>+K23/$K$13</f>
        <v>-0.32075471698113206</v>
      </c>
      <c r="L33" s="380"/>
      <c r="M33" s="379"/>
      <c r="N33" s="557" t="s">
        <v>89</v>
      </c>
      <c r="O33" s="588">
        <f>+O23/$O$13</f>
        <v>-0.16129032258064516</v>
      </c>
      <c r="P33" s="379"/>
      <c r="Q33" s="383"/>
      <c r="R33" s="379"/>
      <c r="S33" s="589">
        <f>+S23/$S$13</f>
        <v>-0.16129032258064516</v>
      </c>
      <c r="T33" s="379"/>
      <c r="U33" s="590">
        <f t="shared" si="8"/>
        <v>15.94643944004869</v>
      </c>
      <c r="V33" s="379"/>
      <c r="W33" s="590">
        <f t="shared" si="9"/>
        <v>15.94643944004869</v>
      </c>
      <c r="X33" s="379"/>
      <c r="Y33" s="202"/>
    </row>
    <row r="34" spans="2:25" ht="15" customHeight="1">
      <c r="B34" s="185"/>
      <c r="C34" s="111"/>
      <c r="D34" s="557" t="s">
        <v>9</v>
      </c>
      <c r="E34" s="588">
        <f>+E24/$E$14</f>
        <v>-0.04395604395604396</v>
      </c>
      <c r="F34" s="379"/>
      <c r="G34" s="280"/>
      <c r="H34" s="280"/>
      <c r="I34" s="383"/>
      <c r="J34" s="379"/>
      <c r="K34" s="589">
        <f>+K24/$K$14</f>
        <v>-0.06896551724137931</v>
      </c>
      <c r="L34" s="380"/>
      <c r="M34" s="379"/>
      <c r="N34" s="557" t="s">
        <v>9</v>
      </c>
      <c r="O34" s="588">
        <f>+O24/$O$14</f>
        <v>-0.1527777777777778</v>
      </c>
      <c r="P34" s="379"/>
      <c r="Q34" s="383"/>
      <c r="R34" s="379"/>
      <c r="S34" s="589">
        <f>+S24/$S$14</f>
        <v>-0.1527777777777778</v>
      </c>
      <c r="T34" s="379"/>
      <c r="U34" s="590">
        <f t="shared" si="8"/>
        <v>-10.882173382173383</v>
      </c>
      <c r="V34" s="379"/>
      <c r="W34" s="590">
        <f t="shared" si="9"/>
        <v>-8.381226053639848</v>
      </c>
      <c r="X34" s="379"/>
      <c r="Y34" s="202"/>
    </row>
    <row r="35" spans="2:25" ht="12.75">
      <c r="B35" s="185"/>
      <c r="C35" s="111"/>
      <c r="D35" s="272" t="s">
        <v>10</v>
      </c>
      <c r="E35" s="281">
        <f>+E27/$E$17</f>
        <v>0.41072127298813094</v>
      </c>
      <c r="F35" s="592"/>
      <c r="G35" s="593"/>
      <c r="H35" s="593"/>
      <c r="I35" s="593"/>
      <c r="J35" s="592"/>
      <c r="K35" s="282">
        <f>+K27/$K$17</f>
        <v>0.40846354166666665</v>
      </c>
      <c r="L35" s="595"/>
      <c r="M35" s="100"/>
      <c r="N35" s="272" t="s">
        <v>10</v>
      </c>
      <c r="O35" s="281">
        <f>+O27/$O$17</f>
        <v>0.4082793281311996</v>
      </c>
      <c r="P35" s="100"/>
      <c r="Q35" s="593"/>
      <c r="R35" s="100"/>
      <c r="S35" s="282">
        <f>+S27/$S$17</f>
        <v>0.40960190450998546</v>
      </c>
      <c r="T35" s="100"/>
      <c r="U35" s="1439">
        <f t="shared" si="8"/>
        <v>-0.2441944856931333</v>
      </c>
      <c r="V35" s="100"/>
      <c r="W35" s="1439">
        <f t="shared" si="9"/>
        <v>0.11383628433188075</v>
      </c>
      <c r="X35" s="100"/>
      <c r="Y35" s="202"/>
    </row>
    <row r="36" spans="2:25" ht="6.75" customHeight="1">
      <c r="B36" s="185"/>
      <c r="C36" s="111"/>
      <c r="D36" s="283"/>
      <c r="E36" s="284"/>
      <c r="F36" s="100"/>
      <c r="G36" s="597"/>
      <c r="H36" s="597"/>
      <c r="I36" s="597"/>
      <c r="J36" s="100"/>
      <c r="K36" s="597"/>
      <c r="L36" s="595"/>
      <c r="M36" s="100"/>
      <c r="N36" s="283"/>
      <c r="O36" s="284"/>
      <c r="P36" s="100"/>
      <c r="Q36" s="597"/>
      <c r="R36" s="100"/>
      <c r="S36" s="597"/>
      <c r="T36" s="100"/>
      <c r="U36" s="599"/>
      <c r="V36" s="100"/>
      <c r="W36" s="599"/>
      <c r="X36" s="100"/>
      <c r="Y36" s="202"/>
    </row>
    <row r="37" spans="2:25" ht="15" customHeight="1">
      <c r="B37" s="185"/>
      <c r="C37" s="111"/>
      <c r="D37" s="258" t="s">
        <v>47</v>
      </c>
      <c r="E37" s="376"/>
      <c r="F37" s="234"/>
      <c r="G37" s="279"/>
      <c r="H37" s="279"/>
      <c r="I37" s="377"/>
      <c r="J37" s="234"/>
      <c r="K37" s="377"/>
      <c r="L37" s="378"/>
      <c r="M37" s="234"/>
      <c r="N37" s="258" t="s">
        <v>47</v>
      </c>
      <c r="O37" s="376"/>
      <c r="P37" s="234"/>
      <c r="Q37" s="377"/>
      <c r="R37" s="234"/>
      <c r="S37" s="377"/>
      <c r="T37" s="234"/>
      <c r="U37" s="243"/>
      <c r="V37" s="234"/>
      <c r="W37" s="243"/>
      <c r="X37" s="234"/>
      <c r="Y37" s="202"/>
    </row>
    <row r="38" spans="2:25" ht="15" customHeight="1">
      <c r="B38" s="185"/>
      <c r="C38" s="111"/>
      <c r="D38" s="542" t="s">
        <v>7</v>
      </c>
      <c r="E38" s="600">
        <v>1728</v>
      </c>
      <c r="F38" s="573"/>
      <c r="G38" s="544">
        <f>8-'2Q Rep&amp;org.'!G38-'1Q Rep&amp;org.'!G38</f>
        <v>3</v>
      </c>
      <c r="H38" s="544">
        <f>-2-'2Q Rep&amp;org.'!H38-'1Q Rep&amp;org.'!H38</f>
        <v>0</v>
      </c>
      <c r="I38" s="544">
        <v>-1</v>
      </c>
      <c r="J38" s="573"/>
      <c r="K38" s="544">
        <v>1730</v>
      </c>
      <c r="L38" s="575"/>
      <c r="M38" s="548"/>
      <c r="N38" s="542" t="s">
        <v>7</v>
      </c>
      <c r="O38" s="600">
        <v>1548</v>
      </c>
      <c r="P38" s="548"/>
      <c r="Q38" s="544">
        <v>10</v>
      </c>
      <c r="R38" s="548"/>
      <c r="S38" s="544">
        <f aca="true" t="shared" si="10" ref="S38:S45">+O38+Q38</f>
        <v>1558</v>
      </c>
      <c r="T38" s="548"/>
      <c r="U38" s="549">
        <f aca="true" t="shared" si="11" ref="U38:U44">+O38/E38-1</f>
        <v>-0.10416666666666663</v>
      </c>
      <c r="V38" s="548"/>
      <c r="W38" s="549">
        <f aca="true" t="shared" si="12" ref="W38:W43">+S38/K38-1</f>
        <v>-0.09942196531791903</v>
      </c>
      <c r="X38" s="548"/>
      <c r="Y38" s="898"/>
    </row>
    <row r="39" spans="2:25" ht="15" customHeight="1">
      <c r="B39" s="185"/>
      <c r="C39" s="111"/>
      <c r="D39" s="557" t="s">
        <v>8</v>
      </c>
      <c r="E39" s="561">
        <v>37</v>
      </c>
      <c r="F39" s="548"/>
      <c r="G39" s="552">
        <f>3-'2Q Rep&amp;org.'!G39-'1Q Rep&amp;org.'!G39</f>
        <v>0</v>
      </c>
      <c r="H39" s="552"/>
      <c r="I39" s="552"/>
      <c r="J39" s="548"/>
      <c r="K39" s="552">
        <f aca="true" t="shared" si="13" ref="K39:K44">+E39+G39+H39</f>
        <v>37</v>
      </c>
      <c r="L39" s="575"/>
      <c r="M39" s="548"/>
      <c r="N39" s="557" t="s">
        <v>8</v>
      </c>
      <c r="O39" s="561">
        <v>7</v>
      </c>
      <c r="P39" s="548"/>
      <c r="Q39" s="552"/>
      <c r="R39" s="548"/>
      <c r="S39" s="552">
        <f t="shared" si="10"/>
        <v>7</v>
      </c>
      <c r="T39" s="548"/>
      <c r="U39" s="556">
        <f t="shared" si="11"/>
        <v>-0.8108108108108107</v>
      </c>
      <c r="V39" s="548"/>
      <c r="W39" s="556">
        <f t="shared" si="12"/>
        <v>-0.8108108108108107</v>
      </c>
      <c r="X39" s="548"/>
      <c r="Y39" s="898"/>
    </row>
    <row r="40" spans="2:25" ht="15" customHeight="1">
      <c r="B40" s="185"/>
      <c r="C40" s="111"/>
      <c r="D40" s="557" t="s">
        <v>31</v>
      </c>
      <c r="E40" s="561">
        <v>-25</v>
      </c>
      <c r="F40" s="548"/>
      <c r="G40" s="552"/>
      <c r="H40" s="552">
        <v>3</v>
      </c>
      <c r="I40" s="552"/>
      <c r="J40" s="548"/>
      <c r="K40" s="552">
        <f t="shared" si="13"/>
        <v>-22</v>
      </c>
      <c r="L40" s="575"/>
      <c r="M40" s="548"/>
      <c r="N40" s="557" t="s">
        <v>31</v>
      </c>
      <c r="O40" s="561">
        <v>73</v>
      </c>
      <c r="P40" s="548"/>
      <c r="Q40" s="552"/>
      <c r="R40" s="548"/>
      <c r="S40" s="552">
        <f t="shared" si="10"/>
        <v>73</v>
      </c>
      <c r="T40" s="548"/>
      <c r="U40" s="556">
        <f t="shared" si="11"/>
        <v>-3.92</v>
      </c>
      <c r="V40" s="548"/>
      <c r="W40" s="556">
        <f t="shared" si="12"/>
        <v>-4.318181818181818</v>
      </c>
      <c r="X40" s="548"/>
      <c r="Y40" s="898"/>
    </row>
    <row r="41" spans="2:25" ht="15" customHeight="1">
      <c r="B41" s="185"/>
      <c r="C41" s="111"/>
      <c r="D41" s="557" t="s">
        <v>89</v>
      </c>
      <c r="E41" s="561">
        <v>-32</v>
      </c>
      <c r="F41" s="548"/>
      <c r="G41" s="552"/>
      <c r="H41" s="552"/>
      <c r="I41" s="552"/>
      <c r="J41" s="548"/>
      <c r="K41" s="552">
        <f t="shared" si="13"/>
        <v>-32</v>
      </c>
      <c r="L41" s="380"/>
      <c r="M41" s="379"/>
      <c r="N41" s="557" t="s">
        <v>89</v>
      </c>
      <c r="O41" s="561">
        <v>-24</v>
      </c>
      <c r="P41" s="548"/>
      <c r="Q41" s="552"/>
      <c r="R41" s="548"/>
      <c r="S41" s="552">
        <f t="shared" si="10"/>
        <v>-24</v>
      </c>
      <c r="T41" s="379"/>
      <c r="U41" s="556">
        <f t="shared" si="11"/>
        <v>-0.25</v>
      </c>
      <c r="V41" s="379"/>
      <c r="W41" s="556">
        <f t="shared" si="12"/>
        <v>-0.25</v>
      </c>
      <c r="X41" s="379"/>
      <c r="Y41" s="898"/>
    </row>
    <row r="42" spans="2:25" ht="15" customHeight="1">
      <c r="B42" s="185"/>
      <c r="C42" s="111"/>
      <c r="D42" s="557" t="s">
        <v>9</v>
      </c>
      <c r="E42" s="561">
        <v>-8</v>
      </c>
      <c r="F42" s="548"/>
      <c r="G42" s="552">
        <f>-7-'2Q Rep&amp;org.'!G42-'1Q Rep&amp;org.'!G42</f>
        <v>-2</v>
      </c>
      <c r="H42" s="552">
        <f>-4-'2Q Rep&amp;org.'!H42-'1Q Rep&amp;org.'!H42</f>
        <v>0</v>
      </c>
      <c r="I42" s="552"/>
      <c r="J42" s="548"/>
      <c r="K42" s="552">
        <f t="shared" si="13"/>
        <v>-10</v>
      </c>
      <c r="L42" s="575"/>
      <c r="M42" s="548"/>
      <c r="N42" s="557" t="s">
        <v>9</v>
      </c>
      <c r="O42" s="561">
        <v>-12</v>
      </c>
      <c r="P42" s="548"/>
      <c r="Q42" s="552"/>
      <c r="R42" s="548"/>
      <c r="S42" s="552">
        <f t="shared" si="10"/>
        <v>-12</v>
      </c>
      <c r="T42" s="548"/>
      <c r="U42" s="556">
        <f t="shared" si="11"/>
        <v>0.5</v>
      </c>
      <c r="V42" s="548"/>
      <c r="W42" s="556">
        <f t="shared" si="12"/>
        <v>0.19999999999999996</v>
      </c>
      <c r="X42" s="548"/>
      <c r="Y42" s="898"/>
    </row>
    <row r="43" spans="2:25" ht="15" customHeight="1">
      <c r="B43" s="185"/>
      <c r="C43" s="111"/>
      <c r="D43" s="557" t="s">
        <v>187</v>
      </c>
      <c r="E43" s="561">
        <v>17</v>
      </c>
      <c r="F43" s="548"/>
      <c r="G43" s="552">
        <f>-32-'2Q Rep&amp;org.'!G43-'1Q Rep&amp;org.'!G43</f>
        <v>-20</v>
      </c>
      <c r="H43" s="552">
        <f>-1-'2Q Rep&amp;org.'!H43-'1Q Rep&amp;org.'!H43</f>
        <v>0</v>
      </c>
      <c r="I43" s="552"/>
      <c r="J43" s="548"/>
      <c r="K43" s="552">
        <f t="shared" si="13"/>
        <v>-3</v>
      </c>
      <c r="L43" s="575"/>
      <c r="M43" s="548"/>
      <c r="N43" s="557" t="s">
        <v>187</v>
      </c>
      <c r="O43" s="561">
        <v>-2</v>
      </c>
      <c r="P43" s="548"/>
      <c r="Q43" s="552"/>
      <c r="R43" s="548"/>
      <c r="S43" s="552">
        <f t="shared" si="10"/>
        <v>-2</v>
      </c>
      <c r="T43" s="548"/>
      <c r="U43" s="556">
        <f t="shared" si="11"/>
        <v>-1.1176470588235294</v>
      </c>
      <c r="V43" s="548"/>
      <c r="W43" s="556">
        <f t="shared" si="12"/>
        <v>-0.33333333333333337</v>
      </c>
      <c r="X43" s="548"/>
      <c r="Y43" s="898"/>
    </row>
    <row r="44" spans="2:25" ht="15" customHeight="1">
      <c r="B44" s="185"/>
      <c r="C44" s="111"/>
      <c r="D44" s="557" t="s">
        <v>188</v>
      </c>
      <c r="E44" s="561">
        <v>16</v>
      </c>
      <c r="F44" s="548"/>
      <c r="G44" s="552"/>
      <c r="H44" s="552"/>
      <c r="I44" s="552">
        <v>-1</v>
      </c>
      <c r="J44" s="548"/>
      <c r="K44" s="552">
        <f t="shared" si="13"/>
        <v>16</v>
      </c>
      <c r="L44" s="575"/>
      <c r="M44" s="548"/>
      <c r="N44" s="557" t="s">
        <v>188</v>
      </c>
      <c r="O44" s="561">
        <v>6</v>
      </c>
      <c r="P44" s="548"/>
      <c r="Q44" s="552"/>
      <c r="R44" s="548"/>
      <c r="S44" s="552">
        <f t="shared" si="10"/>
        <v>6</v>
      </c>
      <c r="T44" s="548"/>
      <c r="U44" s="556">
        <f t="shared" si="11"/>
        <v>-0.625</v>
      </c>
      <c r="V44" s="548"/>
      <c r="W44" s="556"/>
      <c r="X44" s="548"/>
      <c r="Y44" s="898"/>
    </row>
    <row r="45" spans="2:25" ht="15" customHeight="1">
      <c r="B45" s="185"/>
      <c r="C45" s="1403"/>
      <c r="D45" s="272" t="s">
        <v>10</v>
      </c>
      <c r="E45" s="384">
        <f>+SUM(E38:E44)</f>
        <v>1733</v>
      </c>
      <c r="F45" s="579"/>
      <c r="G45" s="381">
        <f>+SUM(G38:G44)</f>
        <v>-19</v>
      </c>
      <c r="H45" s="381">
        <f>+SUM(H38:H44)</f>
        <v>3</v>
      </c>
      <c r="I45" s="381">
        <f>+SUM(I38:I44)</f>
        <v>-2</v>
      </c>
      <c r="J45" s="579"/>
      <c r="K45" s="275">
        <f>+E45+G45+H45+I45</f>
        <v>1715</v>
      </c>
      <c r="L45" s="575"/>
      <c r="M45" s="548"/>
      <c r="N45" s="272" t="s">
        <v>10</v>
      </c>
      <c r="O45" s="384">
        <f>+SUM(O38:O44)</f>
        <v>1596</v>
      </c>
      <c r="P45" s="548"/>
      <c r="Q45" s="381">
        <f>+Q38</f>
        <v>10</v>
      </c>
      <c r="R45" s="548"/>
      <c r="S45" s="275">
        <f t="shared" si="10"/>
        <v>1606</v>
      </c>
      <c r="T45" s="548"/>
      <c r="U45" s="277">
        <f>+O45/E45-1</f>
        <v>-0.07905366416618576</v>
      </c>
      <c r="V45" s="548"/>
      <c r="W45" s="277">
        <f>+S45/K45-1</f>
        <v>-0.06355685131195332</v>
      </c>
      <c r="X45" s="548"/>
      <c r="Y45" s="202"/>
    </row>
    <row r="46" spans="2:25" ht="9" customHeight="1">
      <c r="B46" s="185"/>
      <c r="C46" s="111"/>
      <c r="D46" s="581"/>
      <c r="E46" s="561"/>
      <c r="F46" s="548"/>
      <c r="G46" s="577"/>
      <c r="H46" s="577"/>
      <c r="I46" s="552"/>
      <c r="J46" s="548"/>
      <c r="K46" s="552"/>
      <c r="L46" s="575"/>
      <c r="M46" s="548"/>
      <c r="N46" s="581"/>
      <c r="O46" s="561"/>
      <c r="P46" s="548"/>
      <c r="Q46" s="552"/>
      <c r="R46" s="548"/>
      <c r="S46" s="552"/>
      <c r="T46" s="548"/>
      <c r="U46" s="578"/>
      <c r="V46" s="548"/>
      <c r="W46" s="578"/>
      <c r="X46" s="548"/>
      <c r="Y46" s="202"/>
    </row>
    <row r="47" spans="2:25" ht="15" customHeight="1">
      <c r="B47" s="185"/>
      <c r="C47" s="111"/>
      <c r="D47" s="258" t="s">
        <v>69</v>
      </c>
      <c r="E47" s="583"/>
      <c r="F47" s="548"/>
      <c r="G47" s="1454"/>
      <c r="H47" s="577"/>
      <c r="I47" s="552"/>
      <c r="J47" s="548"/>
      <c r="K47" s="552">
        <f>+K45+'2Q Rep&amp;org.'!K45+'1Q Rep&amp;org.'!K45</f>
        <v>5295</v>
      </c>
      <c r="L47" s="575"/>
      <c r="M47" s="548"/>
      <c r="N47" s="258" t="s">
        <v>69</v>
      </c>
      <c r="O47" s="583"/>
      <c r="P47" s="548"/>
      <c r="Q47" s="552"/>
      <c r="R47" s="548"/>
      <c r="S47" s="552"/>
      <c r="T47" s="548"/>
      <c r="U47" s="578"/>
      <c r="V47" s="548"/>
      <c r="W47" s="578"/>
      <c r="X47" s="548"/>
      <c r="Y47" s="202"/>
    </row>
    <row r="48" spans="2:25" ht="15" customHeight="1">
      <c r="B48" s="185"/>
      <c r="C48" s="111"/>
      <c r="D48" s="542" t="s">
        <v>7</v>
      </c>
      <c r="E48" s="584">
        <f>+E38/$E$8</f>
        <v>0.2915963550455619</v>
      </c>
      <c r="F48" s="573"/>
      <c r="G48" s="585"/>
      <c r="H48" s="585"/>
      <c r="I48" s="544"/>
      <c r="J48" s="573"/>
      <c r="K48" s="586">
        <f>+K38/$K$8</f>
        <v>0.2921310368118879</v>
      </c>
      <c r="L48" s="575"/>
      <c r="M48" s="548"/>
      <c r="N48" s="542" t="s">
        <v>7</v>
      </c>
      <c r="O48" s="584">
        <f>+O38/$O$8</f>
        <v>0.2699686083013603</v>
      </c>
      <c r="P48" s="548"/>
      <c r="Q48" s="544"/>
      <c r="R48" s="548"/>
      <c r="S48" s="586">
        <f>+S38/$S$8</f>
        <v>0.27171259155912103</v>
      </c>
      <c r="T48" s="548"/>
      <c r="U48" s="587">
        <f aca="true" t="shared" si="14" ref="U48:U53">+(O48-E48)*100</f>
        <v>-2.1627746744201595</v>
      </c>
      <c r="V48" s="548"/>
      <c r="W48" s="587">
        <f aca="true" t="shared" si="15" ref="W48:W53">+(S48-K48)*100</f>
        <v>-2.0418445252766872</v>
      </c>
      <c r="X48" s="548"/>
      <c r="Y48" s="202"/>
    </row>
    <row r="49" spans="2:25" ht="15" customHeight="1">
      <c r="B49" s="185"/>
      <c r="C49" s="111"/>
      <c r="D49" s="557" t="s">
        <v>8</v>
      </c>
      <c r="E49" s="588">
        <f>+E39/$E$11</f>
        <v>0.11858974358974358</v>
      </c>
      <c r="F49" s="548"/>
      <c r="G49" s="577"/>
      <c r="H49" s="577"/>
      <c r="I49" s="552"/>
      <c r="J49" s="548"/>
      <c r="K49" s="589">
        <f>+K39/$K$11</f>
        <v>0.11858974358974358</v>
      </c>
      <c r="L49" s="575"/>
      <c r="M49" s="548"/>
      <c r="N49" s="557" t="s">
        <v>8</v>
      </c>
      <c r="O49" s="588">
        <f>+O39/$O$11</f>
        <v>0.0219435736677116</v>
      </c>
      <c r="P49" s="548"/>
      <c r="Q49" s="552"/>
      <c r="R49" s="548"/>
      <c r="S49" s="589">
        <f>+S39/$S$11</f>
        <v>0.0219435736677116</v>
      </c>
      <c r="T49" s="548"/>
      <c r="U49" s="590">
        <f t="shared" si="14"/>
        <v>-9.664616992203198</v>
      </c>
      <c r="V49" s="548"/>
      <c r="W49" s="590">
        <f t="shared" si="15"/>
        <v>-9.664616992203198</v>
      </c>
      <c r="X49" s="548"/>
      <c r="Y49" s="202"/>
    </row>
    <row r="50" spans="2:25" ht="15" customHeight="1">
      <c r="B50" s="185"/>
      <c r="C50" s="111"/>
      <c r="D50" s="557" t="s">
        <v>31</v>
      </c>
      <c r="E50" s="588">
        <f>+E40/$E$12</f>
        <v>-0.0195160031225605</v>
      </c>
      <c r="F50" s="548"/>
      <c r="G50" s="577"/>
      <c r="H50" s="577"/>
      <c r="I50" s="552"/>
      <c r="J50" s="548"/>
      <c r="K50" s="589">
        <f>+K40/$K$12</f>
        <v>-0.016236162361623615</v>
      </c>
      <c r="L50" s="575"/>
      <c r="M50" s="548"/>
      <c r="N50" s="557" t="s">
        <v>31</v>
      </c>
      <c r="O50" s="588">
        <f>+O40/$O$12</f>
        <v>0.05083565459610028</v>
      </c>
      <c r="P50" s="548"/>
      <c r="Q50" s="552"/>
      <c r="R50" s="548"/>
      <c r="S50" s="589">
        <f>+S40/$S$12</f>
        <v>0.05083565459610028</v>
      </c>
      <c r="T50" s="548"/>
      <c r="U50" s="590">
        <f t="shared" si="14"/>
        <v>7.035165771866078</v>
      </c>
      <c r="V50" s="379"/>
      <c r="W50" s="590">
        <f t="shared" si="15"/>
        <v>6.707181695772389</v>
      </c>
      <c r="X50" s="548"/>
      <c r="Y50" s="202"/>
    </row>
    <row r="51" spans="2:25" ht="15" customHeight="1">
      <c r="B51" s="185"/>
      <c r="C51" s="111"/>
      <c r="D51" s="557" t="s">
        <v>89</v>
      </c>
      <c r="E51" s="588">
        <f>+E41/$E$13</f>
        <v>-0.6037735849056604</v>
      </c>
      <c r="F51" s="548"/>
      <c r="G51" s="577"/>
      <c r="H51" s="577"/>
      <c r="I51" s="552"/>
      <c r="J51" s="548"/>
      <c r="K51" s="589">
        <f>+K41/$K$13</f>
        <v>-0.6037735849056604</v>
      </c>
      <c r="L51" s="575"/>
      <c r="M51" s="548"/>
      <c r="N51" s="557" t="s">
        <v>89</v>
      </c>
      <c r="O51" s="588">
        <f>+O41/$O$13</f>
        <v>-0.3870967741935484</v>
      </c>
      <c r="P51" s="548"/>
      <c r="Q51" s="552"/>
      <c r="R51" s="548"/>
      <c r="S51" s="589">
        <f>+S41/$S$13</f>
        <v>-0.3870967741935484</v>
      </c>
      <c r="T51" s="548"/>
      <c r="U51" s="590">
        <f t="shared" si="14"/>
        <v>21.6676810712112</v>
      </c>
      <c r="V51" s="379"/>
      <c r="W51" s="590">
        <f t="shared" si="15"/>
        <v>21.6676810712112</v>
      </c>
      <c r="X51" s="548"/>
      <c r="Y51" s="202"/>
    </row>
    <row r="52" spans="2:25" ht="15" customHeight="1">
      <c r="B52" s="185"/>
      <c r="C52" s="111"/>
      <c r="D52" s="557" t="s">
        <v>9</v>
      </c>
      <c r="E52" s="588">
        <f>+E42/$E$14</f>
        <v>-0.08791208791208792</v>
      </c>
      <c r="F52" s="548"/>
      <c r="G52" s="577"/>
      <c r="H52" s="577"/>
      <c r="I52" s="552"/>
      <c r="J52" s="548"/>
      <c r="K52" s="589">
        <f>+K42/$K$14</f>
        <v>-0.11494252873563218</v>
      </c>
      <c r="L52" s="575"/>
      <c r="M52" s="548"/>
      <c r="N52" s="557" t="s">
        <v>9</v>
      </c>
      <c r="O52" s="588">
        <f>+O42/$O$14</f>
        <v>-0.16666666666666666</v>
      </c>
      <c r="P52" s="548"/>
      <c r="Q52" s="552"/>
      <c r="R52" s="548"/>
      <c r="S52" s="589">
        <f>+S42/$S$14</f>
        <v>-0.16666666666666666</v>
      </c>
      <c r="T52" s="548"/>
      <c r="U52" s="590">
        <f t="shared" si="14"/>
        <v>-7.875457875457874</v>
      </c>
      <c r="V52" s="379"/>
      <c r="W52" s="590">
        <f t="shared" si="15"/>
        <v>-5.1724137931034475</v>
      </c>
      <c r="X52" s="548"/>
      <c r="Y52" s="202"/>
    </row>
    <row r="53" spans="2:25" ht="15" customHeight="1">
      <c r="B53" s="185"/>
      <c r="C53" s="111"/>
      <c r="D53" s="272" t="s">
        <v>10</v>
      </c>
      <c r="E53" s="281">
        <f>+E45/$E$17</f>
        <v>0.22603365071083867</v>
      </c>
      <c r="F53" s="579"/>
      <c r="G53" s="602"/>
      <c r="H53" s="602"/>
      <c r="I53" s="562"/>
      <c r="J53" s="579"/>
      <c r="K53" s="282">
        <f>+K45/$K$17</f>
        <v>0.22330729166666666</v>
      </c>
      <c r="L53" s="575"/>
      <c r="M53" s="548"/>
      <c r="N53" s="272" t="s">
        <v>10</v>
      </c>
      <c r="O53" s="281">
        <f>+O45/$O$17</f>
        <v>0.21108319005422563</v>
      </c>
      <c r="P53" s="548"/>
      <c r="Q53" s="562"/>
      <c r="R53" s="548"/>
      <c r="S53" s="282">
        <f>+S45/$S$17</f>
        <v>0.2124057664330115</v>
      </c>
      <c r="T53" s="548"/>
      <c r="U53" s="1439">
        <f t="shared" si="14"/>
        <v>-1.495046065661304</v>
      </c>
      <c r="V53" s="100"/>
      <c r="W53" s="1439">
        <f t="shared" si="15"/>
        <v>-1.0901525233655147</v>
      </c>
      <c r="X53" s="548"/>
      <c r="Y53" s="202"/>
    </row>
    <row r="54" spans="2:27" ht="15" customHeight="1" thickBot="1">
      <c r="B54" s="185"/>
      <c r="C54" s="111"/>
      <c r="D54" s="286"/>
      <c r="E54" s="385"/>
      <c r="F54" s="385"/>
      <c r="G54" s="287"/>
      <c r="H54" s="287"/>
      <c r="I54" s="385"/>
      <c r="J54" s="385"/>
      <c r="K54" s="385"/>
      <c r="L54" s="386"/>
      <c r="M54" s="379"/>
      <c r="N54" s="288"/>
      <c r="O54" s="387"/>
      <c r="P54" s="387"/>
      <c r="Q54" s="387"/>
      <c r="R54" s="387"/>
      <c r="S54" s="289"/>
      <c r="T54" s="379"/>
      <c r="U54" s="388"/>
      <c r="V54" s="379"/>
      <c r="W54" s="388"/>
      <c r="X54" s="379"/>
      <c r="Y54" s="202"/>
      <c r="AA54" s="97"/>
    </row>
    <row r="55" spans="2:25" ht="15" customHeight="1" thickTop="1">
      <c r="B55" s="185"/>
      <c r="C55" s="111"/>
      <c r="D55" s="1479" t="s">
        <v>381</v>
      </c>
      <c r="E55" s="1479"/>
      <c r="F55" s="1479"/>
      <c r="G55" s="1479"/>
      <c r="H55" s="1479"/>
      <c r="I55" s="1479"/>
      <c r="J55" s="1479"/>
      <c r="K55" s="1479"/>
      <c r="L55" s="1479"/>
      <c r="M55" s="1479"/>
      <c r="N55" s="1479"/>
      <c r="O55" s="1479"/>
      <c r="P55" s="1479"/>
      <c r="Q55" s="1479"/>
      <c r="R55" s="1479"/>
      <c r="S55" s="1479"/>
      <c r="T55" s="1479"/>
      <c r="U55" s="1479"/>
      <c r="V55" s="1479"/>
      <c r="W55" s="1479"/>
      <c r="X55" s="379"/>
      <c r="Y55" s="202"/>
    </row>
    <row r="56" spans="2:25" ht="15" customHeight="1">
      <c r="B56" s="185"/>
      <c r="C56" s="111"/>
      <c r="D56" s="1242"/>
      <c r="E56" s="1242"/>
      <c r="F56" s="1242"/>
      <c r="G56" s="1242"/>
      <c r="H56" s="1242"/>
      <c r="I56" s="1242"/>
      <c r="J56" s="1242"/>
      <c r="K56" s="1242"/>
      <c r="L56" s="1242"/>
      <c r="M56" s="1242"/>
      <c r="N56" s="1242"/>
      <c r="O56" s="1242"/>
      <c r="P56" s="1242"/>
      <c r="Q56" s="1242"/>
      <c r="R56" s="1242"/>
      <c r="S56" s="1242"/>
      <c r="T56" s="1242"/>
      <c r="U56" s="1242"/>
      <c r="V56" s="1242"/>
      <c r="W56" s="1242"/>
      <c r="X56" s="379"/>
      <c r="Y56" s="202"/>
    </row>
    <row r="57" spans="2:29" ht="15" customHeight="1">
      <c r="B57" s="185"/>
      <c r="C57" s="111"/>
      <c r="D57" s="901" t="s">
        <v>364</v>
      </c>
      <c r="E57" s="902"/>
      <c r="F57" s="902"/>
      <c r="G57" s="902"/>
      <c r="H57" s="902"/>
      <c r="I57" s="903" t="s">
        <v>143</v>
      </c>
      <c r="J57" s="903"/>
      <c r="K57" s="904" t="s">
        <v>537</v>
      </c>
      <c r="L57" s="379"/>
      <c r="M57" s="379"/>
      <c r="N57" s="901" t="s">
        <v>350</v>
      </c>
      <c r="O57" s="902"/>
      <c r="P57" s="902"/>
      <c r="Q57" s="902"/>
      <c r="R57" s="902"/>
      <c r="S57" s="903" t="s">
        <v>143</v>
      </c>
      <c r="T57" s="903"/>
      <c r="U57" s="904" t="s">
        <v>537</v>
      </c>
      <c r="V57" s="379"/>
      <c r="W57" s="379"/>
      <c r="X57" s="379"/>
      <c r="Y57" s="202"/>
      <c r="AA57" s="92"/>
      <c r="AB57" s="97"/>
      <c r="AC57" s="97"/>
    </row>
    <row r="58" spans="2:29" s="97" customFormat="1" ht="24.75" customHeight="1">
      <c r="B58" s="441"/>
      <c r="C58" s="100"/>
      <c r="D58" s="617" t="s">
        <v>529</v>
      </c>
      <c r="E58" s="379"/>
      <c r="F58" s="379"/>
      <c r="G58" s="401"/>
      <c r="H58" s="401"/>
      <c r="I58" s="661"/>
      <c r="J58" s="661"/>
      <c r="K58" s="664">
        <v>1</v>
      </c>
      <c r="L58" s="379"/>
      <c r="M58" s="379"/>
      <c r="N58" s="617" t="s">
        <v>529</v>
      </c>
      <c r="O58" s="379"/>
      <c r="P58" s="379"/>
      <c r="Q58" s="401"/>
      <c r="R58" s="401"/>
      <c r="S58" s="661"/>
      <c r="T58" s="661"/>
      <c r="U58" s="664">
        <v>1</v>
      </c>
      <c r="V58" s="379"/>
      <c r="W58" s="379"/>
      <c r="X58" s="379"/>
      <c r="Y58" s="442"/>
      <c r="AA58" s="92"/>
      <c r="AB58" s="88"/>
      <c r="AC58" s="88"/>
    </row>
    <row r="59" spans="2:25" ht="16.5" customHeight="1">
      <c r="B59" s="185"/>
      <c r="C59" s="111"/>
      <c r="D59" s="617" t="s">
        <v>494</v>
      </c>
      <c r="E59" s="379"/>
      <c r="F59" s="379"/>
      <c r="G59" s="401"/>
      <c r="H59" s="401"/>
      <c r="I59" s="661"/>
      <c r="J59" s="661"/>
      <c r="K59" s="664">
        <v>9</v>
      </c>
      <c r="L59" s="379"/>
      <c r="M59" s="379"/>
      <c r="N59" s="617" t="s">
        <v>494</v>
      </c>
      <c r="O59" s="379"/>
      <c r="P59" s="379"/>
      <c r="Q59" s="401"/>
      <c r="R59" s="401"/>
      <c r="S59" s="661">
        <v>-3</v>
      </c>
      <c r="T59" s="661"/>
      <c r="U59" s="664">
        <v>9</v>
      </c>
      <c r="V59" s="379"/>
      <c r="W59" s="379"/>
      <c r="X59" s="379"/>
      <c r="Y59" s="202"/>
    </row>
    <row r="60" spans="2:25" ht="15" customHeight="1">
      <c r="B60" s="185"/>
      <c r="C60" s="111"/>
      <c r="D60" s="617"/>
      <c r="E60" s="379"/>
      <c r="F60" s="379"/>
      <c r="G60" s="401"/>
      <c r="H60" s="401"/>
      <c r="I60" s="661"/>
      <c r="J60" s="661"/>
      <c r="K60" s="664"/>
      <c r="L60" s="379"/>
      <c r="M60" s="379"/>
      <c r="N60" s="617"/>
      <c r="O60" s="379"/>
      <c r="P60" s="379"/>
      <c r="Q60" s="401"/>
      <c r="R60" s="401"/>
      <c r="S60" s="661"/>
      <c r="T60" s="661"/>
      <c r="U60" s="664"/>
      <c r="V60" s="379"/>
      <c r="W60" s="379"/>
      <c r="X60" s="379"/>
      <c r="Y60" s="202"/>
    </row>
    <row r="61" spans="2:25" ht="15" customHeight="1">
      <c r="B61" s="185"/>
      <c r="C61" s="111"/>
      <c r="D61" s="617"/>
      <c r="E61" s="379"/>
      <c r="F61" s="379"/>
      <c r="G61" s="401"/>
      <c r="H61" s="401"/>
      <c r="I61" s="661"/>
      <c r="J61" s="661"/>
      <c r="K61" s="664"/>
      <c r="L61" s="379"/>
      <c r="M61" s="379"/>
      <c r="N61" s="617"/>
      <c r="O61" s="379"/>
      <c r="P61" s="379"/>
      <c r="Q61" s="401"/>
      <c r="R61" s="401"/>
      <c r="S61" s="661"/>
      <c r="T61" s="661"/>
      <c r="U61" s="664"/>
      <c r="V61" s="379"/>
      <c r="W61" s="379"/>
      <c r="X61" s="379"/>
      <c r="Y61" s="202"/>
    </row>
    <row r="62" spans="2:25" ht="15" customHeight="1">
      <c r="B62" s="185"/>
      <c r="C62" s="111"/>
      <c r="D62" s="1455"/>
      <c r="E62" s="95"/>
      <c r="F62" s="91"/>
      <c r="G62" s="91"/>
      <c r="H62" s="91"/>
      <c r="I62" s="91"/>
      <c r="J62" s="91"/>
      <c r="K62" s="1456"/>
      <c r="L62" s="379"/>
      <c r="M62" s="379"/>
      <c r="N62" s="1457"/>
      <c r="O62" s="91"/>
      <c r="P62" s="91"/>
      <c r="Q62" s="91"/>
      <c r="R62" s="91"/>
      <c r="S62" s="91"/>
      <c r="T62" s="91"/>
      <c r="U62" s="1456"/>
      <c r="V62" s="379"/>
      <c r="W62" s="379"/>
      <c r="X62" s="379"/>
      <c r="Y62" s="202"/>
    </row>
    <row r="63" spans="2:25" ht="25.5" customHeight="1">
      <c r="B63" s="185"/>
      <c r="C63" s="111"/>
      <c r="D63" s="905" t="s">
        <v>139</v>
      </c>
      <c r="E63" s="402"/>
      <c r="F63" s="402"/>
      <c r="G63" s="403"/>
      <c r="H63" s="403"/>
      <c r="I63" s="631"/>
      <c r="J63" s="631"/>
      <c r="K63" s="633">
        <f>+K59+K58</f>
        <v>10</v>
      </c>
      <c r="L63" s="379"/>
      <c r="M63" s="379"/>
      <c r="N63" s="905" t="s">
        <v>139</v>
      </c>
      <c r="O63" s="402"/>
      <c r="P63" s="402"/>
      <c r="Q63" s="403"/>
      <c r="R63" s="403"/>
      <c r="S63" s="631">
        <v>-3</v>
      </c>
      <c r="T63" s="631"/>
      <c r="U63" s="633">
        <f>+U59+U58</f>
        <v>10</v>
      </c>
      <c r="V63" s="379"/>
      <c r="W63" s="379"/>
      <c r="X63" s="379"/>
      <c r="Y63" s="202"/>
    </row>
    <row r="64" spans="2:25" ht="12.75">
      <c r="B64" s="444"/>
      <c r="C64" s="112"/>
      <c r="D64" s="906"/>
      <c r="E64" s="907"/>
      <c r="F64" s="907"/>
      <c r="G64" s="908"/>
      <c r="H64" s="908"/>
      <c r="I64" s="907"/>
      <c r="J64" s="907"/>
      <c r="K64" s="907"/>
      <c r="L64" s="907"/>
      <c r="M64" s="907"/>
      <c r="N64" s="907"/>
      <c r="O64" s="907"/>
      <c r="P64" s="907"/>
      <c r="Q64" s="907"/>
      <c r="R64" s="907"/>
      <c r="S64" s="907"/>
      <c r="T64" s="907"/>
      <c r="U64" s="907"/>
      <c r="V64" s="907"/>
      <c r="W64" s="907"/>
      <c r="X64" s="907"/>
      <c r="Y64" s="445"/>
    </row>
  </sheetData>
  <sheetProtection password="DAD6" sheet="1" formatCells="0" formatColumns="0" formatRows="0" insertColumns="0" insertRows="0" insertHyperlinks="0" deleteColumns="0" deleteRows="0" sort="0" autoFilter="0" pivotTables="0"/>
  <mergeCells count="13">
    <mergeCell ref="B1:Y1"/>
    <mergeCell ref="H6:H7"/>
    <mergeCell ref="G6:G7"/>
    <mergeCell ref="D5:E5"/>
    <mergeCell ref="D7:E7"/>
    <mergeCell ref="N7:O7"/>
    <mergeCell ref="I6:I7"/>
    <mergeCell ref="N4:O4"/>
    <mergeCell ref="N5:O5"/>
    <mergeCell ref="D3:L4"/>
    <mergeCell ref="N3:S3"/>
    <mergeCell ref="D55:W55"/>
    <mergeCell ref="G5:I5"/>
  </mergeCells>
  <hyperlinks>
    <hyperlink ref="AA13" location="'Domestic Business Results'!A1" display="Domestic Business Results"/>
    <hyperlink ref="AA14" location="'Domestic Wireline Results'!A1" display="Domestic Wireline Results"/>
    <hyperlink ref="AA15" location="'Domestic Mobile Results'!A1" display="Domestic Mobile Results"/>
    <hyperlink ref="AA16" location="'TIM Brasil Results'!A1" display="TIM Brasil Results"/>
    <hyperlink ref="AA17" location="'European BroadBand'!A1" display="European BroadBand"/>
    <hyperlink ref="AA20" location="'Main Group''s Subsidiries'!A1" display="Main Group's Subsidiaries"/>
    <hyperlink ref="AA9" location="'Key fin data by BU YTD'!A1" display="Key Financial data by BU YTD"/>
    <hyperlink ref="AA21" location="'Analyst Tools'!A1" display="Analyst Tools"/>
    <hyperlink ref="AA22" location="'Historic Data'!A1" display="Historic Data"/>
    <hyperlink ref="AA8" location="'P&amp;L Group by quarter'!A1" display="P&amp;L Group by quarter"/>
    <hyperlink ref="AA10" location="'Key fin. data by BU by quarter'!A1" display="Key Financial data by quarter"/>
    <hyperlink ref="AA7" location="'P&amp;L Group YTD'!A1" display="P&amp;L Group YTD"/>
    <hyperlink ref="AA11" location="'Balance Sheet'!A1" display="Balance Sheet"/>
    <hyperlink ref="AA12" location="'Cashflow Statement'!A1" display="Cashflow Statement"/>
    <hyperlink ref="AA18" location="'1Q Rep&amp;org.'!A1" display="Repoerted &amp; Organic figures"/>
    <hyperlink ref="AA19" location="'2Q Rep&amp;org.'!A1" display="Reported &amp; Organic figures 2Q08 vs 2Q07"/>
    <hyperlink ref="AA23" location="Cover!A1" display="Cover"/>
  </hyperlinks>
  <printOptions horizontalCentered="1" verticalCentered="1"/>
  <pageMargins left="0" right="0" top="0" bottom="0" header="0.5118110236220472" footer="0.31496062992125984"/>
  <pageSetup fitToHeight="2" horizontalDpi="600" verticalDpi="600" orientation="landscape" paperSize="9" scale="52" r:id="rId3"/>
  <drawing r:id="rId1"/>
  <legacyDrawingHF r:id="rId2"/>
</worksheet>
</file>

<file path=xl/worksheets/sheet16.xml><?xml version="1.0" encoding="utf-8"?>
<worksheet xmlns="http://schemas.openxmlformats.org/spreadsheetml/2006/main" xmlns:r="http://schemas.openxmlformats.org/officeDocument/2006/relationships">
  <sheetPr codeName="Foglio14"/>
  <dimension ref="A1:L43"/>
  <sheetViews>
    <sheetView showGridLines="0" zoomScaleSheetLayoutView="100" workbookViewId="0" topLeftCell="A1">
      <selection activeCell="B2" sqref="B2:H2"/>
    </sheetView>
  </sheetViews>
  <sheetFormatPr defaultColWidth="9.140625" defaultRowHeight="12.75"/>
  <cols>
    <col min="1" max="1" width="0.9921875" style="88" customWidth="1"/>
    <col min="2" max="2" width="8.57421875" style="88" customWidth="1"/>
    <col min="3" max="3" width="28.7109375" style="88" customWidth="1"/>
    <col min="4" max="4" width="3.57421875" style="97" customWidth="1"/>
    <col min="5" max="5" width="38.28125" style="97" customWidth="1"/>
    <col min="6" max="6" width="2.28125" style="97" customWidth="1"/>
    <col min="7" max="7" width="26.8515625" style="97" bestFit="1" customWidth="1"/>
    <col min="8" max="8" width="9.8515625" style="97" customWidth="1"/>
    <col min="9" max="10" width="2.28125" style="88" customWidth="1"/>
    <col min="11" max="11" width="3.140625" style="88" customWidth="1"/>
    <col min="12" max="12" width="33.28125" style="88" bestFit="1" customWidth="1"/>
    <col min="13" max="13" width="1.421875" style="88" customWidth="1"/>
    <col min="14" max="16384" width="9.140625" style="88" customWidth="1"/>
  </cols>
  <sheetData>
    <row r="1" spans="2:12" ht="12.75">
      <c r="B1" s="181"/>
      <c r="C1" s="182"/>
      <c r="D1" s="183"/>
      <c r="E1" s="183"/>
      <c r="F1" s="183"/>
      <c r="G1" s="183"/>
      <c r="H1" s="183"/>
      <c r="I1" s="184"/>
      <c r="J1" s="111"/>
      <c r="K1" s="121"/>
      <c r="L1" s="121"/>
    </row>
    <row r="2" spans="2:12" ht="30" customHeight="1">
      <c r="B2" s="1523" t="s">
        <v>110</v>
      </c>
      <c r="C2" s="1524"/>
      <c r="D2" s="1524"/>
      <c r="E2" s="1524"/>
      <c r="F2" s="1524"/>
      <c r="G2" s="1524"/>
      <c r="H2" s="1524"/>
      <c r="I2" s="186"/>
      <c r="J2" s="151"/>
      <c r="K2" s="151"/>
      <c r="L2" s="30" t="s">
        <v>59</v>
      </c>
    </row>
    <row r="3" spans="2:12" ht="12.75">
      <c r="B3" s="185"/>
      <c r="C3" s="152"/>
      <c r="D3" s="316"/>
      <c r="E3" s="316"/>
      <c r="F3" s="316"/>
      <c r="G3" s="316"/>
      <c r="H3" s="316"/>
      <c r="I3" s="188"/>
      <c r="J3" s="791"/>
      <c r="K3" s="148"/>
      <c r="L3" s="31" t="s">
        <v>56</v>
      </c>
    </row>
    <row r="4" spans="2:12" ht="15.75">
      <c r="B4" s="185"/>
      <c r="C4" s="117" t="s">
        <v>104</v>
      </c>
      <c r="D4" s="446"/>
      <c r="E4" s="117" t="s">
        <v>114</v>
      </c>
      <c r="F4" s="119"/>
      <c r="G4" s="117" t="s">
        <v>106</v>
      </c>
      <c r="H4" s="370"/>
      <c r="I4" s="191"/>
      <c r="J4" s="792"/>
      <c r="K4" s="792"/>
      <c r="L4" s="139" t="s">
        <v>206</v>
      </c>
    </row>
    <row r="5" spans="2:12" ht="15.75">
      <c r="B5" s="185"/>
      <c r="C5" s="447"/>
      <c r="D5" s="447"/>
      <c r="E5" s="448"/>
      <c r="F5" s="449"/>
      <c r="G5" s="118" t="s">
        <v>105</v>
      </c>
      <c r="H5" s="370"/>
      <c r="I5" s="192"/>
      <c r="J5" s="148"/>
      <c r="K5" s="148"/>
      <c r="L5" s="139" t="s">
        <v>208</v>
      </c>
    </row>
    <row r="6" spans="2:12" ht="15.75">
      <c r="B6" s="185"/>
      <c r="C6" s="446"/>
      <c r="D6" s="117"/>
      <c r="E6" s="370"/>
      <c r="F6" s="450"/>
      <c r="G6" s="107"/>
      <c r="H6" s="370"/>
      <c r="I6" s="192"/>
      <c r="J6" s="148"/>
      <c r="K6" s="148"/>
      <c r="L6" s="139" t="s">
        <v>207</v>
      </c>
    </row>
    <row r="7" spans="2:12" ht="15.75">
      <c r="B7" s="185"/>
      <c r="C7" s="119" t="s">
        <v>119</v>
      </c>
      <c r="D7" s="451"/>
      <c r="E7" s="119" t="s">
        <v>96</v>
      </c>
      <c r="F7" s="450"/>
      <c r="G7" s="120">
        <v>1</v>
      </c>
      <c r="H7" s="107"/>
      <c r="I7" s="192"/>
      <c r="J7" s="148"/>
      <c r="K7" s="148"/>
      <c r="L7" s="139" t="s">
        <v>223</v>
      </c>
    </row>
    <row r="8" spans="2:12" ht="15.75">
      <c r="B8" s="185"/>
      <c r="C8" s="107"/>
      <c r="D8" s="119"/>
      <c r="E8" s="119"/>
      <c r="F8" s="450"/>
      <c r="G8" s="107"/>
      <c r="H8" s="107"/>
      <c r="I8" s="192"/>
      <c r="J8" s="148"/>
      <c r="K8" s="148"/>
      <c r="L8" s="139" t="s">
        <v>310</v>
      </c>
    </row>
    <row r="9" spans="2:12" ht="15.75">
      <c r="B9" s="185"/>
      <c r="C9" s="119" t="s">
        <v>120</v>
      </c>
      <c r="D9" s="451"/>
      <c r="E9" s="119" t="s">
        <v>95</v>
      </c>
      <c r="F9" s="450"/>
      <c r="G9" s="120">
        <v>1</v>
      </c>
      <c r="H9" s="107"/>
      <c r="I9" s="192"/>
      <c r="J9" s="148"/>
      <c r="K9" s="148"/>
      <c r="L9" s="139" t="s">
        <v>311</v>
      </c>
    </row>
    <row r="10" spans="2:12" ht="15.75">
      <c r="B10" s="185"/>
      <c r="C10" s="107"/>
      <c r="D10" s="119"/>
      <c r="E10" s="119"/>
      <c r="F10" s="450"/>
      <c r="G10" s="107"/>
      <c r="H10" s="107"/>
      <c r="I10" s="192"/>
      <c r="J10" s="148"/>
      <c r="K10" s="148"/>
      <c r="L10" s="139" t="s">
        <v>12</v>
      </c>
    </row>
    <row r="11" spans="2:12" ht="15.75">
      <c r="B11" s="185"/>
      <c r="C11" s="119" t="s">
        <v>9</v>
      </c>
      <c r="D11" s="451"/>
      <c r="E11" s="119" t="s">
        <v>115</v>
      </c>
      <c r="F11" s="450"/>
      <c r="G11" s="120">
        <v>1</v>
      </c>
      <c r="H11" s="107"/>
      <c r="I11" s="192"/>
      <c r="J11" s="148"/>
      <c r="K11" s="148"/>
      <c r="L11" s="139" t="s">
        <v>220</v>
      </c>
    </row>
    <row r="12" spans="2:12" ht="15.75">
      <c r="B12" s="185"/>
      <c r="C12" s="107"/>
      <c r="D12" s="119"/>
      <c r="E12" s="119"/>
      <c r="F12" s="450"/>
      <c r="G12" s="107"/>
      <c r="H12" s="107"/>
      <c r="I12" s="192"/>
      <c r="J12" s="148"/>
      <c r="K12" s="148"/>
      <c r="L12" s="139" t="s">
        <v>221</v>
      </c>
    </row>
    <row r="13" spans="2:12" ht="15.75">
      <c r="B13" s="185"/>
      <c r="C13" s="119" t="s">
        <v>83</v>
      </c>
      <c r="D13" s="451"/>
      <c r="E13" s="119" t="s">
        <v>116</v>
      </c>
      <c r="F13" s="450"/>
      <c r="G13" s="120">
        <v>0.6967</v>
      </c>
      <c r="H13" s="107"/>
      <c r="I13" s="192"/>
      <c r="J13" s="148"/>
      <c r="K13" s="148"/>
      <c r="L13" s="139" t="s">
        <v>222</v>
      </c>
    </row>
    <row r="14" spans="2:12" ht="15.75">
      <c r="B14" s="185"/>
      <c r="C14" s="107"/>
      <c r="D14" s="119"/>
      <c r="E14" s="119"/>
      <c r="F14" s="450"/>
      <c r="G14" s="107"/>
      <c r="H14" s="107"/>
      <c r="I14" s="192"/>
      <c r="J14" s="148"/>
      <c r="K14" s="148"/>
      <c r="L14" s="139" t="s">
        <v>8</v>
      </c>
    </row>
    <row r="15" spans="2:12" ht="15.75">
      <c r="B15" s="185"/>
      <c r="C15" s="119" t="s">
        <v>89</v>
      </c>
      <c r="D15" s="451"/>
      <c r="E15" s="119" t="s">
        <v>115</v>
      </c>
      <c r="F15" s="450"/>
      <c r="G15" s="120">
        <v>0.6795</v>
      </c>
      <c r="H15" s="107"/>
      <c r="I15" s="192"/>
      <c r="J15" s="148"/>
      <c r="K15" s="148"/>
      <c r="L15" s="139" t="s">
        <v>534</v>
      </c>
    </row>
    <row r="16" spans="2:12" ht="15.75">
      <c r="B16" s="185"/>
      <c r="C16" s="107"/>
      <c r="D16" s="119"/>
      <c r="E16" s="119"/>
      <c r="F16" s="452"/>
      <c r="G16" s="107"/>
      <c r="H16" s="107"/>
      <c r="I16" s="192"/>
      <c r="J16" s="148"/>
      <c r="K16" s="148"/>
      <c r="L16" s="139" t="s">
        <v>535</v>
      </c>
    </row>
    <row r="17" spans="2:12" ht="15.75">
      <c r="B17" s="185"/>
      <c r="C17" s="119" t="s">
        <v>85</v>
      </c>
      <c r="D17" s="451"/>
      <c r="E17" s="119" t="s">
        <v>117</v>
      </c>
      <c r="F17" s="450"/>
      <c r="G17" s="120">
        <v>0.27</v>
      </c>
      <c r="H17" s="107"/>
      <c r="I17" s="192"/>
      <c r="J17" s="148"/>
      <c r="K17" s="148"/>
      <c r="L17" s="139" t="s">
        <v>545</v>
      </c>
    </row>
    <row r="18" spans="2:12" ht="15.75">
      <c r="B18" s="185"/>
      <c r="C18" s="107"/>
      <c r="D18" s="119"/>
      <c r="E18" s="119"/>
      <c r="F18" s="107"/>
      <c r="G18" s="107"/>
      <c r="H18" s="107"/>
      <c r="I18" s="188"/>
      <c r="J18" s="791"/>
      <c r="K18" s="148"/>
      <c r="L18" s="139" t="s">
        <v>157</v>
      </c>
    </row>
    <row r="19" spans="2:12" ht="15.75">
      <c r="B19" s="185"/>
      <c r="C19" s="119" t="s">
        <v>84</v>
      </c>
      <c r="D19" s="453"/>
      <c r="E19" s="119" t="s">
        <v>118</v>
      </c>
      <c r="F19" s="107"/>
      <c r="G19" s="120">
        <v>0.1397</v>
      </c>
      <c r="H19" s="107"/>
      <c r="I19" s="192"/>
      <c r="J19" s="148"/>
      <c r="K19" s="148"/>
      <c r="L19" s="1469" t="s">
        <v>382</v>
      </c>
    </row>
    <row r="20" spans="2:12" ht="15.75">
      <c r="B20" s="185"/>
      <c r="C20" s="107"/>
      <c r="D20" s="453"/>
      <c r="E20" s="119"/>
      <c r="F20" s="107"/>
      <c r="G20" s="107"/>
      <c r="H20" s="107"/>
      <c r="I20" s="202"/>
      <c r="J20" s="111"/>
      <c r="K20" s="111"/>
      <c r="L20" s="162" t="s">
        <v>312</v>
      </c>
    </row>
    <row r="21" spans="2:12" ht="15">
      <c r="B21" s="185"/>
      <c r="C21" s="1448" t="s">
        <v>343</v>
      </c>
      <c r="D21" s="1448"/>
      <c r="E21" s="1448"/>
      <c r="F21" s="1448"/>
      <c r="G21" s="1448"/>
      <c r="H21" s="107"/>
      <c r="I21" s="202"/>
      <c r="J21" s="111"/>
      <c r="K21" s="121"/>
      <c r="L21" s="121"/>
    </row>
    <row r="22" spans="2:12" ht="15.75">
      <c r="B22" s="444"/>
      <c r="C22" s="448"/>
      <c r="D22" s="1458"/>
      <c r="E22" s="1459"/>
      <c r="F22" s="1460"/>
      <c r="G22" s="448"/>
      <c r="H22" s="1460"/>
      <c r="I22" s="445"/>
      <c r="J22" s="111"/>
      <c r="K22" s="121"/>
      <c r="L22" s="121"/>
    </row>
    <row r="23" spans="1:12" ht="15">
      <c r="A23"/>
      <c r="B23"/>
      <c r="C23"/>
      <c r="D23" s="107"/>
      <c r="E23" s="107"/>
      <c r="F23" s="107"/>
      <c r="G23" s="107"/>
      <c r="H23"/>
      <c r="I23"/>
      <c r="J23"/>
      <c r="K23"/>
      <c r="L23" s="121"/>
    </row>
    <row r="24" spans="1:12" ht="12.75">
      <c r="A24"/>
      <c r="B24"/>
      <c r="C24"/>
      <c r="H24"/>
      <c r="I24"/>
      <c r="J24"/>
      <c r="K24"/>
      <c r="L24" s="121"/>
    </row>
    <row r="25" spans="1:11" ht="12.75">
      <c r="A25"/>
      <c r="B25"/>
      <c r="C25"/>
      <c r="D25"/>
      <c r="E25"/>
      <c r="F25"/>
      <c r="G25"/>
      <c r="H25"/>
      <c r="I25"/>
      <c r="J25"/>
      <c r="K25"/>
    </row>
    <row r="26" spans="1:11" ht="12.75">
      <c r="A26"/>
      <c r="B26"/>
      <c r="C26"/>
      <c r="D26"/>
      <c r="E26"/>
      <c r="F26"/>
      <c r="G26"/>
      <c r="H26"/>
      <c r="I26"/>
      <c r="J26"/>
      <c r="K26"/>
    </row>
    <row r="27" spans="1:11" ht="15.75" customHeight="1">
      <c r="A27"/>
      <c r="B27"/>
      <c r="C27"/>
      <c r="H27"/>
      <c r="I27"/>
      <c r="J27"/>
      <c r="K27"/>
    </row>
    <row r="28" spans="1:11" ht="12.75">
      <c r="A28"/>
      <c r="B28"/>
      <c r="C28"/>
      <c r="H28"/>
      <c r="I28"/>
      <c r="J28"/>
      <c r="K28"/>
    </row>
    <row r="29" spans="1:11" ht="12.75">
      <c r="A29"/>
      <c r="B29"/>
      <c r="C29"/>
      <c r="H29"/>
      <c r="I29"/>
      <c r="J29"/>
      <c r="K29"/>
    </row>
    <row r="30" spans="1:11" ht="12.75">
      <c r="A30"/>
      <c r="B30"/>
      <c r="C30"/>
      <c r="H30"/>
      <c r="I30"/>
      <c r="J30"/>
      <c r="K30"/>
    </row>
    <row r="43" ht="12.75">
      <c r="C43" s="1402"/>
    </row>
  </sheetData>
  <sheetProtection password="DAD6" sheet="1" formatCells="0" formatColumns="0" formatRows="0" insertColumns="0" insertRows="0" insertHyperlinks="0" deleteColumns="0" deleteRows="0" sort="0" autoFilter="0" pivotTables="0"/>
  <mergeCells count="1">
    <mergeCell ref="B2:H2"/>
  </mergeCells>
  <hyperlinks>
    <hyperlink ref="C15" r:id="rId1" display="TI Media"/>
    <hyperlink ref="B2:H2" r:id="rId2" display="Main Group Subsidiares"/>
    <hyperlink ref="C19" r:id="rId3" display="Telecom Argentina"/>
    <hyperlink ref="C17" r:id="rId4" display="Etecsa (Cuba)"/>
    <hyperlink ref="C13" r:id="rId5" display="TIM Partecipaçoes S.A."/>
    <hyperlink ref="C11" r:id="rId6" display="Olivetti"/>
    <hyperlink ref="C7" r:id="rId7" display="BBNed "/>
    <hyperlink ref="L10" location="'Domestic Business Results'!A1" display="Domestic Business Results"/>
    <hyperlink ref="L11" location="'Domestic Wireline Results'!A1" display="Domestic Wireline Results"/>
    <hyperlink ref="L12" location="'Domestic Mobile Results'!A1" display="Domestic Mobile Results"/>
    <hyperlink ref="L13" location="'TIM Brasil Results'!A1" display="TIM Brasil Results"/>
    <hyperlink ref="L14" location="'European BroadBand'!A1" display="European BroadBand"/>
    <hyperlink ref="L6" location="'Key fin data by BU YTD'!A1" display="Key Financial data by BU YTD"/>
    <hyperlink ref="L18" location="'Analyst Tools'!A1" display="Analyst Tools"/>
    <hyperlink ref="L19" location="'Historic Data'!A1" display="Historic Data"/>
    <hyperlink ref="L5" location="'P&amp;L Group by quarter'!A1" display="P&amp;L Group by quarter"/>
    <hyperlink ref="L7" location="'Key fin. data by BU by quarter'!A1" display="Key Financial data by quarter"/>
    <hyperlink ref="L4" location="'P&amp;L Group YTD'!A1" display="P&amp;L Group YTD"/>
    <hyperlink ref="L8" location="'Balance Sheet'!A1" display="Balance Sheet"/>
    <hyperlink ref="L9" location="'Cashflow Statement'!A1" display="Cashflow Statement"/>
    <hyperlink ref="L15" location="'1Q Rep&amp;org.'!A1" display="Repoerted &amp; Organic figures"/>
    <hyperlink ref="L16" location="'2Q Rep&amp;org.'!A1" display="Reported &amp; Organic figures 2Q08 vs 2Q07"/>
    <hyperlink ref="L17" location="'3Q Rep&amp;org.'!A1" display="Reported &amp; Organic figures 3Q08 vs 3Q07"/>
    <hyperlink ref="L20" location="Cover!A1" display="Cover"/>
  </hyperlinks>
  <printOptions horizontalCentered="1" verticalCentered="1"/>
  <pageMargins left="0" right="0" top="0" bottom="0" header="0.5118110236220472" footer="0.31496062992125984"/>
  <pageSetup fitToHeight="2" horizontalDpi="600" verticalDpi="600" orientation="landscape" paperSize="9" scale="78" r:id="rId10"/>
  <drawing r:id="rId8"/>
  <legacyDrawingHF r:id="rId9"/>
</worksheet>
</file>

<file path=xl/worksheets/sheet17.xml><?xml version="1.0" encoding="utf-8"?>
<worksheet xmlns="http://schemas.openxmlformats.org/spreadsheetml/2006/main" xmlns:r="http://schemas.openxmlformats.org/officeDocument/2006/relationships">
  <sheetPr codeName="Foglio16"/>
  <dimension ref="B2:I51"/>
  <sheetViews>
    <sheetView showGridLines="0" zoomScaleSheetLayoutView="100" workbookViewId="0" topLeftCell="A1">
      <selection activeCell="E16" sqref="E16"/>
    </sheetView>
  </sheetViews>
  <sheetFormatPr defaultColWidth="9.140625" defaultRowHeight="12.75"/>
  <cols>
    <col min="1" max="1" width="0.9921875" style="88" customWidth="1"/>
    <col min="2" max="2" width="2.00390625" style="88" customWidth="1"/>
    <col min="3" max="4" width="30.421875" style="88" customWidth="1"/>
    <col min="5" max="5" width="51.8515625" style="97" customWidth="1"/>
    <col min="6" max="7" width="2.28125" style="88" customWidth="1"/>
    <col min="8" max="8" width="1.57421875" style="88" customWidth="1"/>
    <col min="9" max="9" width="33.28125" style="88" bestFit="1" customWidth="1"/>
    <col min="10" max="10" width="1.421875" style="88" customWidth="1"/>
    <col min="11" max="16384" width="9.140625" style="88" customWidth="1"/>
  </cols>
  <sheetData>
    <row r="2" spans="2:9" ht="12.75">
      <c r="B2" s="181"/>
      <c r="C2" s="182"/>
      <c r="D2" s="182"/>
      <c r="E2" s="183"/>
      <c r="F2" s="184"/>
      <c r="G2" s="111"/>
      <c r="H2" s="121"/>
      <c r="I2" s="121"/>
    </row>
    <row r="3" spans="2:9" ht="15.75">
      <c r="B3" s="185"/>
      <c r="C3" s="1506" t="s">
        <v>157</v>
      </c>
      <c r="D3" s="1506"/>
      <c r="E3" s="1506"/>
      <c r="F3" s="186"/>
      <c r="G3" s="151"/>
      <c r="H3" s="151"/>
      <c r="I3" s="30" t="s">
        <v>59</v>
      </c>
    </row>
    <row r="4" spans="2:9" ht="12.75">
      <c r="B4" s="185"/>
      <c r="C4" s="166"/>
      <c r="D4" s="187"/>
      <c r="E4" s="112"/>
      <c r="F4" s="188"/>
      <c r="G4" s="791"/>
      <c r="H4" s="148"/>
      <c r="I4" s="31" t="s">
        <v>56</v>
      </c>
    </row>
    <row r="5" spans="2:9" ht="12.75">
      <c r="B5" s="185"/>
      <c r="C5" s="152"/>
      <c r="D5" s="189"/>
      <c r="E5" s="190"/>
      <c r="F5" s="191"/>
      <c r="G5" s="792"/>
      <c r="H5" s="792"/>
      <c r="I5" s="139" t="s">
        <v>206</v>
      </c>
    </row>
    <row r="6" spans="2:9" ht="12.75">
      <c r="B6" s="185"/>
      <c r="C6" s="121"/>
      <c r="D6" s="180"/>
      <c r="E6" s="178" t="s">
        <v>155</v>
      </c>
      <c r="F6" s="192"/>
      <c r="G6" s="148"/>
      <c r="H6" s="148"/>
      <c r="I6" s="139" t="s">
        <v>208</v>
      </c>
    </row>
    <row r="7" spans="2:9" ht="12.75">
      <c r="B7" s="185"/>
      <c r="C7" s="111"/>
      <c r="D7" s="190"/>
      <c r="E7" s="193"/>
      <c r="F7" s="192"/>
      <c r="G7" s="148"/>
      <c r="H7" s="148"/>
      <c r="I7" s="139" t="s">
        <v>207</v>
      </c>
    </row>
    <row r="8" spans="2:9" ht="12.75">
      <c r="B8" s="185"/>
      <c r="C8" s="100"/>
      <c r="D8" s="194"/>
      <c r="E8" s="195" t="s">
        <v>156</v>
      </c>
      <c r="F8" s="192"/>
      <c r="G8" s="148"/>
      <c r="H8" s="148"/>
      <c r="I8" s="139" t="s">
        <v>223</v>
      </c>
    </row>
    <row r="9" spans="2:9" ht="12.75">
      <c r="B9" s="185"/>
      <c r="C9" s="122"/>
      <c r="D9" s="196"/>
      <c r="E9" s="197"/>
      <c r="F9" s="192"/>
      <c r="G9" s="148"/>
      <c r="H9" s="148"/>
      <c r="I9" s="139" t="s">
        <v>310</v>
      </c>
    </row>
    <row r="10" spans="2:9" ht="12.75">
      <c r="B10" s="185"/>
      <c r="C10" s="122"/>
      <c r="D10" s="196"/>
      <c r="E10" s="178" t="s">
        <v>154</v>
      </c>
      <c r="F10" s="192"/>
      <c r="G10" s="148"/>
      <c r="H10" s="148"/>
      <c r="I10" s="139" t="s">
        <v>311</v>
      </c>
    </row>
    <row r="11" spans="2:9" ht="12.75">
      <c r="B11" s="185"/>
      <c r="C11" s="122"/>
      <c r="D11" s="196"/>
      <c r="E11" s="197"/>
      <c r="F11" s="192"/>
      <c r="G11" s="148"/>
      <c r="H11" s="148"/>
      <c r="I11" s="139" t="s">
        <v>12</v>
      </c>
    </row>
    <row r="12" spans="2:9" ht="12.75">
      <c r="B12" s="185"/>
      <c r="C12" s="122"/>
      <c r="D12" s="196"/>
      <c r="E12" s="178" t="s">
        <v>108</v>
      </c>
      <c r="F12" s="192"/>
      <c r="G12" s="148"/>
      <c r="H12" s="148"/>
      <c r="I12" s="139" t="s">
        <v>220</v>
      </c>
    </row>
    <row r="13" spans="2:9" ht="12.75">
      <c r="B13" s="185"/>
      <c r="C13" s="122"/>
      <c r="D13" s="1525"/>
      <c r="E13" s="1525"/>
      <c r="F13" s="192"/>
      <c r="G13" s="148"/>
      <c r="H13" s="148"/>
      <c r="I13" s="139" t="s">
        <v>221</v>
      </c>
    </row>
    <row r="14" spans="2:9" ht="12.75">
      <c r="B14" s="185"/>
      <c r="C14" s="198"/>
      <c r="D14" s="199"/>
      <c r="E14" s="200"/>
      <c r="F14" s="192"/>
      <c r="G14" s="148"/>
      <c r="H14" s="148"/>
      <c r="I14" s="139" t="s">
        <v>222</v>
      </c>
    </row>
    <row r="15" spans="2:9" ht="12.75">
      <c r="B15" s="185"/>
      <c r="C15" s="123"/>
      <c r="D15" s="193"/>
      <c r="E15" s="178" t="s">
        <v>155</v>
      </c>
      <c r="F15" s="192"/>
      <c r="G15" s="148"/>
      <c r="H15" s="148"/>
      <c r="I15" s="139" t="s">
        <v>8</v>
      </c>
    </row>
    <row r="16" spans="2:9" ht="12.75">
      <c r="B16" s="185"/>
      <c r="C16" s="100"/>
      <c r="D16" s="193"/>
      <c r="E16" s="193"/>
      <c r="F16" s="192"/>
      <c r="G16" s="148"/>
      <c r="H16" s="148"/>
      <c r="I16" s="139" t="s">
        <v>534</v>
      </c>
    </row>
    <row r="17" spans="2:9" ht="12.75">
      <c r="B17" s="185"/>
      <c r="C17" s="100"/>
      <c r="D17" s="194"/>
      <c r="E17" s="201" t="s">
        <v>156</v>
      </c>
      <c r="F17" s="192"/>
      <c r="G17" s="148"/>
      <c r="H17" s="148"/>
      <c r="I17" s="139" t="s">
        <v>535</v>
      </c>
    </row>
    <row r="18" spans="2:9" ht="12.75">
      <c r="B18" s="185"/>
      <c r="C18" s="100"/>
      <c r="D18" s="193"/>
      <c r="E18" s="197"/>
      <c r="F18" s="192"/>
      <c r="G18" s="148"/>
      <c r="H18" s="148"/>
      <c r="I18" s="139" t="s">
        <v>545</v>
      </c>
    </row>
    <row r="19" spans="2:9" ht="12.75">
      <c r="B19" s="185"/>
      <c r="C19" s="100"/>
      <c r="D19" s="194"/>
      <c r="E19" s="195" t="s">
        <v>154</v>
      </c>
      <c r="F19" s="192"/>
      <c r="G19" s="148"/>
      <c r="H19" s="148"/>
      <c r="I19" s="139" t="s">
        <v>109</v>
      </c>
    </row>
    <row r="20" spans="2:9" ht="12.75">
      <c r="B20" s="185"/>
      <c r="C20" s="100"/>
      <c r="D20" s="194"/>
      <c r="E20" s="197"/>
      <c r="F20" s="192"/>
      <c r="G20" s="148"/>
      <c r="H20" s="148"/>
      <c r="I20" s="1469" t="s">
        <v>382</v>
      </c>
    </row>
    <row r="21" spans="2:9" ht="12.75">
      <c r="B21" s="185"/>
      <c r="C21" s="100"/>
      <c r="D21" s="193"/>
      <c r="E21" s="178" t="s">
        <v>108</v>
      </c>
      <c r="F21" s="188"/>
      <c r="G21" s="791"/>
      <c r="H21" s="148"/>
      <c r="I21" s="162" t="s">
        <v>312</v>
      </c>
    </row>
    <row r="22" spans="2:9" ht="12.75">
      <c r="B22" s="185"/>
      <c r="C22" s="122"/>
      <c r="D22" s="1525"/>
      <c r="E22" s="1525"/>
      <c r="F22" s="192"/>
      <c r="G22" s="148"/>
      <c r="H22" s="148"/>
      <c r="I22" s="121"/>
    </row>
    <row r="23" spans="2:9" ht="12.75">
      <c r="B23" s="185"/>
      <c r="C23" s="198"/>
      <c r="D23" s="199"/>
      <c r="E23" s="200"/>
      <c r="F23" s="192"/>
      <c r="G23" s="148"/>
      <c r="H23" s="148"/>
      <c r="I23" s="121"/>
    </row>
    <row r="24" spans="2:9" ht="12.75">
      <c r="B24" s="185"/>
      <c r="C24" s="100"/>
      <c r="D24" s="194"/>
      <c r="E24" s="180"/>
      <c r="F24" s="202"/>
      <c r="G24" s="111"/>
      <c r="H24" s="121"/>
      <c r="I24" s="121"/>
    </row>
    <row r="25" spans="2:9" ht="12.75">
      <c r="B25" s="185"/>
      <c r="C25" s="123"/>
      <c r="D25" s="193"/>
      <c r="E25" s="178" t="s">
        <v>158</v>
      </c>
      <c r="F25" s="202"/>
      <c r="G25" s="111"/>
      <c r="H25" s="121"/>
      <c r="I25" s="121"/>
    </row>
    <row r="26" spans="2:9" ht="12.75">
      <c r="B26" s="185"/>
      <c r="C26" s="123"/>
      <c r="D26" s="193"/>
      <c r="E26" s="178"/>
      <c r="F26" s="202"/>
      <c r="G26" s="111"/>
      <c r="H26" s="121"/>
      <c r="I26" s="121"/>
    </row>
    <row r="27" spans="2:9" ht="12.75">
      <c r="B27" s="185"/>
      <c r="C27" s="123"/>
      <c r="D27" s="193"/>
      <c r="E27" s="178" t="s">
        <v>108</v>
      </c>
      <c r="F27" s="202"/>
      <c r="G27" s="111"/>
      <c r="H27" s="121"/>
      <c r="I27" s="121"/>
    </row>
    <row r="28" spans="2:8" ht="12.75">
      <c r="B28" s="185"/>
      <c r="C28" s="122"/>
      <c r="D28" s="196"/>
      <c r="E28" s="197"/>
      <c r="F28" s="202"/>
      <c r="G28" s="111"/>
      <c r="H28" s="121"/>
    </row>
    <row r="29" spans="2:8" ht="12.75">
      <c r="B29" s="185"/>
      <c r="C29" s="122"/>
      <c r="D29" s="196"/>
      <c r="E29" s="100"/>
      <c r="F29" s="202"/>
      <c r="G29" s="111"/>
      <c r="H29" s="121"/>
    </row>
    <row r="30" spans="2:8" ht="12.75">
      <c r="B30" s="185"/>
      <c r="C30" s="111"/>
      <c r="D30" s="111"/>
      <c r="E30" s="203"/>
      <c r="F30" s="202"/>
      <c r="G30" s="111"/>
      <c r="H30" s="121"/>
    </row>
    <row r="31" spans="2:7" ht="12.75">
      <c r="B31" s="182"/>
      <c r="C31" s="182"/>
      <c r="D31" s="182"/>
      <c r="E31" s="1434"/>
      <c r="F31" s="182"/>
      <c r="G31" s="95"/>
    </row>
    <row r="32" spans="2:7" ht="15.75" customHeight="1">
      <c r="B32" s="95"/>
      <c r="C32" s="95"/>
      <c r="D32" s="95"/>
      <c r="E32" s="95"/>
      <c r="F32" s="95"/>
      <c r="G32" s="95"/>
    </row>
    <row r="33" spans="2:7" ht="15.75" customHeight="1">
      <c r="B33" s="95"/>
      <c r="C33" s="95"/>
      <c r="D33" s="95"/>
      <c r="E33" s="1"/>
      <c r="F33" s="95"/>
      <c r="G33" s="95"/>
    </row>
    <row r="34" spans="2:7" ht="15.75" customHeight="1">
      <c r="B34" s="95"/>
      <c r="C34" s="95"/>
      <c r="D34" s="95"/>
      <c r="E34" s="91"/>
      <c r="F34" s="95"/>
      <c r="G34" s="95"/>
    </row>
    <row r="35" spans="2:7" ht="12.75">
      <c r="B35" s="95"/>
      <c r="C35" s="95"/>
      <c r="D35" s="95"/>
      <c r="E35" s="91"/>
      <c r="F35" s="95"/>
      <c r="G35" s="95"/>
    </row>
    <row r="44" ht="12.75">
      <c r="E44" s="2"/>
    </row>
    <row r="45" ht="12.75">
      <c r="C45" s="1402"/>
    </row>
    <row r="51" ht="12.75">
      <c r="E51" s="3"/>
    </row>
  </sheetData>
  <sheetProtection password="DAD6" sheet="1" formatCells="0" formatColumns="0" formatRows="0" insertColumns="0" insertRows="0" insertHyperlinks="0" deleteColumns="0" deleteRows="0" sort="0" autoFilter="0" pivotTables="0"/>
  <mergeCells count="3">
    <mergeCell ref="C3:E3"/>
    <mergeCell ref="D13:E13"/>
    <mergeCell ref="D22:E22"/>
  </mergeCells>
  <hyperlinks>
    <hyperlink ref="E6" r:id="rId1" display="Report &amp; Results"/>
    <hyperlink ref="E10" r:id="rId2" display="Financial documents archive"/>
    <hyperlink ref="E12" r:id="rId3" display="Upcoming financial events"/>
    <hyperlink ref="E21" r:id="rId4" display="Upcoming financial events"/>
    <hyperlink ref="E25" r:id="rId5" display="TIM Part. Website"/>
    <hyperlink ref="E15" r:id="rId6" display="Report &amp; Results"/>
    <hyperlink ref="E19" r:id="rId7" display="Financial documents archive"/>
    <hyperlink ref="E17" r:id="rId8" display="Press Release"/>
    <hyperlink ref="E27" r:id="rId9" display="Upcoming financial events"/>
    <hyperlink ref="E8" r:id="rId10" display="Press Release"/>
    <hyperlink ref="I11" location="'Domestic Business Results'!A1" display="Domestic Business Results"/>
    <hyperlink ref="I12" location="'Domestic Wireline Results'!A1" display="Domestic Wireline Results"/>
    <hyperlink ref="I13" location="'Domestic Mobile Results'!A1" display="Domestic Mobile Results"/>
    <hyperlink ref="I14" location="'TIM Brasil Results'!A1" display="TIM Brasil Results"/>
    <hyperlink ref="I15" location="'European BroadBand'!A1" display="European BroadBand"/>
    <hyperlink ref="I19" location="'Main Group''s Subsidiries'!A1" display="Main Group's Subsidiaries"/>
    <hyperlink ref="I7" location="'Key fin data by BU YTD'!A1" display="Key Financial data by BU YTD"/>
    <hyperlink ref="I20" location="'Historic Data'!A1" display="Historic Data"/>
    <hyperlink ref="I6" location="'P&amp;L Group by quarter'!A1" display="P&amp;L Group by quarter"/>
    <hyperlink ref="I8" location="'Key fin. data by BU by quarter'!A1" display="Key Financial data by quarter"/>
    <hyperlink ref="I5" location="'P&amp;L Group YTD'!A1" display="P&amp;L Group YTD"/>
    <hyperlink ref="I9" location="'Balance Sheet'!A1" display="Balance Sheet"/>
    <hyperlink ref="I10" location="'Cashflow Statement'!A1" display="Cashflow Statement"/>
    <hyperlink ref="I16" location="'1Q Rep&amp;org.'!A1" display="Repoerted &amp; Organic figures"/>
    <hyperlink ref="I17" location="'2Q Rep&amp;org.'!A1" display="Reported &amp; Organic figures 2Q08 vs 2Q07"/>
    <hyperlink ref="I18" location="'3Q Rep&amp;org.'!A1" display="Reported &amp; Organic figures 3Q08 vs 3Q07"/>
    <hyperlink ref="I21" location="Cover!A1" display="Cover"/>
  </hyperlinks>
  <printOptions horizontalCentered="1" verticalCentered="1"/>
  <pageMargins left="0" right="0" top="0" bottom="0" header="0.5118110236220472" footer="0.31496062992125984"/>
  <pageSetup fitToHeight="2" horizontalDpi="600" verticalDpi="600" orientation="landscape" paperSize="9" r:id="rId13"/>
  <drawing r:id="rId11"/>
  <legacyDrawingHF r:id="rId12"/>
</worksheet>
</file>

<file path=xl/worksheets/sheet18.xml><?xml version="1.0" encoding="utf-8"?>
<worksheet xmlns="http://schemas.openxmlformats.org/spreadsheetml/2006/main" xmlns:r="http://schemas.openxmlformats.org/officeDocument/2006/relationships">
  <sheetPr codeName="Foglio8"/>
  <dimension ref="B1:J52"/>
  <sheetViews>
    <sheetView showGridLines="0" zoomScaleSheetLayoutView="100" workbookViewId="0" topLeftCell="A1">
      <selection activeCell="E16" sqref="E16"/>
    </sheetView>
  </sheetViews>
  <sheetFormatPr defaultColWidth="9.140625" defaultRowHeight="12.75"/>
  <cols>
    <col min="1" max="1" width="0.9921875" style="38" customWidth="1"/>
    <col min="2" max="2" width="2.8515625" style="38" customWidth="1"/>
    <col min="3" max="3" width="46.8515625" style="38" customWidth="1"/>
    <col min="4" max="4" width="3.00390625" style="38" customWidth="1"/>
    <col min="5" max="5" width="1.28515625" style="38" customWidth="1"/>
    <col min="6" max="6" width="31.00390625" style="38" customWidth="1"/>
    <col min="7" max="7" width="11.8515625" style="38" customWidth="1"/>
    <col min="8" max="9" width="16.7109375" style="38" customWidth="1"/>
    <col min="10" max="10" width="2.7109375" style="38" customWidth="1"/>
    <col min="11" max="11" width="1.421875" style="38" customWidth="1"/>
    <col min="12" max="16384" width="9.140625" style="38" customWidth="1"/>
  </cols>
  <sheetData>
    <row r="1" spans="2:10" ht="5.25" customHeight="1">
      <c r="B1" s="140"/>
      <c r="J1" s="141"/>
    </row>
    <row r="2" spans="2:10" ht="12.75">
      <c r="B2" s="142"/>
      <c r="C2" s="143"/>
      <c r="D2" s="1340"/>
      <c r="E2" s="79"/>
      <c r="F2" s="30" t="s">
        <v>59</v>
      </c>
      <c r="G2" s="79"/>
      <c r="H2" s="79"/>
      <c r="I2" s="79"/>
      <c r="J2" s="152"/>
    </row>
    <row r="3" spans="2:10" ht="12.75">
      <c r="B3" s="145"/>
      <c r="C3" s="79"/>
      <c r="D3" s="33"/>
      <c r="E3" s="79"/>
      <c r="F3" s="31" t="s">
        <v>56</v>
      </c>
      <c r="G3" s="79"/>
      <c r="H3" s="79"/>
      <c r="I3" s="79"/>
      <c r="J3" s="152"/>
    </row>
    <row r="4" spans="2:10" ht="12.75">
      <c r="B4" s="146"/>
      <c r="C4" s="79"/>
      <c r="D4" s="33"/>
      <c r="E4" s="79"/>
      <c r="F4" s="139" t="s">
        <v>206</v>
      </c>
      <c r="G4" s="79"/>
      <c r="H4" s="79"/>
      <c r="I4" s="79"/>
      <c r="J4" s="152"/>
    </row>
    <row r="5" spans="2:10" ht="12.75">
      <c r="B5" s="134"/>
      <c r="C5" s="79"/>
      <c r="D5" s="33"/>
      <c r="E5" s="79"/>
      <c r="F5" s="139" t="s">
        <v>208</v>
      </c>
      <c r="G5" s="79"/>
      <c r="H5" s="79"/>
      <c r="I5" s="79"/>
      <c r="J5" s="152"/>
    </row>
    <row r="6" spans="2:10" ht="12.75">
      <c r="B6" s="146"/>
      <c r="C6" s="61"/>
      <c r="D6" s="33"/>
      <c r="E6" s="79"/>
      <c r="F6" s="139" t="s">
        <v>207</v>
      </c>
      <c r="G6" s="79"/>
      <c r="H6" s="79"/>
      <c r="I6" s="79"/>
      <c r="J6" s="152"/>
    </row>
    <row r="7" spans="2:10" ht="12.75">
      <c r="B7" s="147"/>
      <c r="C7" s="79"/>
      <c r="D7" s="33"/>
      <c r="E7" s="79"/>
      <c r="F7" s="139" t="s">
        <v>223</v>
      </c>
      <c r="G7" s="79"/>
      <c r="H7" s="79"/>
      <c r="I7" s="79"/>
      <c r="J7" s="152"/>
    </row>
    <row r="8" spans="2:10" ht="15.75">
      <c r="B8" s="134"/>
      <c r="C8" s="669" t="s">
        <v>382</v>
      </c>
      <c r="D8" s="1339"/>
      <c r="E8" s="1338"/>
      <c r="F8" s="139" t="s">
        <v>310</v>
      </c>
      <c r="G8" s="1338"/>
      <c r="H8" s="1338"/>
      <c r="I8" s="1338"/>
      <c r="J8" s="1338"/>
    </row>
    <row r="9" spans="2:10" ht="12.75">
      <c r="B9" s="146"/>
      <c r="C9" s="79"/>
      <c r="D9" s="33"/>
      <c r="E9" s="79"/>
      <c r="F9" s="139" t="s">
        <v>311</v>
      </c>
      <c r="G9" s="79"/>
      <c r="H9" s="79"/>
      <c r="I9" s="79"/>
      <c r="J9" s="152"/>
    </row>
    <row r="10" spans="2:10" ht="12.75">
      <c r="B10" s="134"/>
      <c r="C10" s="79"/>
      <c r="D10" s="33"/>
      <c r="E10" s="148"/>
      <c r="F10" s="139" t="s">
        <v>12</v>
      </c>
      <c r="G10" s="79"/>
      <c r="H10" s="79"/>
      <c r="I10" s="79"/>
      <c r="J10" s="152"/>
    </row>
    <row r="11" spans="2:10" ht="12.75">
      <c r="B11" s="134"/>
      <c r="D11" s="33"/>
      <c r="E11" s="148"/>
      <c r="F11" s="139" t="s">
        <v>220</v>
      </c>
      <c r="G11" s="79"/>
      <c r="H11" s="79"/>
      <c r="I11" s="79"/>
      <c r="J11" s="152"/>
    </row>
    <row r="12" spans="2:10" ht="12.75" customHeight="1">
      <c r="B12" s="149"/>
      <c r="C12" s="79"/>
      <c r="D12" s="1341"/>
      <c r="E12" s="28"/>
      <c r="F12" s="139" t="s">
        <v>221</v>
      </c>
      <c r="G12" s="79"/>
      <c r="H12" s="79"/>
      <c r="I12" s="79"/>
      <c r="J12" s="152"/>
    </row>
    <row r="13" spans="2:10" ht="13.5" customHeight="1">
      <c r="B13" s="149"/>
      <c r="C13" s="1244"/>
      <c r="D13" s="1341"/>
      <c r="E13" s="28"/>
      <c r="F13" s="139" t="s">
        <v>222</v>
      </c>
      <c r="G13" s="151"/>
      <c r="H13" s="79"/>
      <c r="I13" s="79"/>
      <c r="J13" s="152"/>
    </row>
    <row r="14" spans="2:10" ht="28.5" customHeight="1">
      <c r="B14" s="149"/>
      <c r="C14" s="1528"/>
      <c r="D14" s="1341"/>
      <c r="E14" s="28"/>
      <c r="F14" s="139" t="s">
        <v>8</v>
      </c>
      <c r="G14" s="79"/>
      <c r="H14" s="79"/>
      <c r="I14" s="79"/>
      <c r="J14" s="152"/>
    </row>
    <row r="15" spans="2:10" ht="12.75">
      <c r="B15" s="149"/>
      <c r="C15" s="1529"/>
      <c r="D15" s="1341"/>
      <c r="E15" s="28"/>
      <c r="F15" s="139" t="s">
        <v>534</v>
      </c>
      <c r="G15" s="158"/>
      <c r="H15" s="79"/>
      <c r="I15" s="79"/>
      <c r="J15" s="152"/>
    </row>
    <row r="16" spans="2:10" ht="12.75">
      <c r="B16" s="149"/>
      <c r="C16" s="1529"/>
      <c r="D16" s="1341"/>
      <c r="E16" s="28"/>
      <c r="F16" s="139" t="s">
        <v>535</v>
      </c>
      <c r="G16" s="158"/>
      <c r="H16" s="79"/>
      <c r="I16" s="79"/>
      <c r="J16" s="152"/>
    </row>
    <row r="17" spans="2:10" ht="12.75">
      <c r="B17" s="149"/>
      <c r="C17" s="1530"/>
      <c r="D17" s="1341"/>
      <c r="E17" s="28"/>
      <c r="F17" s="139" t="s">
        <v>545</v>
      </c>
      <c r="G17" s="158"/>
      <c r="H17" s="79"/>
      <c r="I17" s="79"/>
      <c r="J17" s="152"/>
    </row>
    <row r="18" spans="2:10" ht="12.75">
      <c r="B18" s="1344"/>
      <c r="C18" s="1345"/>
      <c r="D18" s="1346"/>
      <c r="E18" s="29"/>
      <c r="F18" s="139" t="s">
        <v>109</v>
      </c>
      <c r="G18" s="152"/>
      <c r="H18" s="79"/>
      <c r="I18" s="79"/>
      <c r="J18" s="152"/>
    </row>
    <row r="19" spans="2:10" ht="12.75">
      <c r="B19" s="1243"/>
      <c r="C19" s="158"/>
      <c r="D19" s="29"/>
      <c r="E19" s="29"/>
      <c r="F19" s="139" t="s">
        <v>157</v>
      </c>
      <c r="G19" s="152"/>
      <c r="H19" s="79"/>
      <c r="I19" s="79"/>
      <c r="J19" s="152"/>
    </row>
    <row r="20" spans="2:10" ht="12.75">
      <c r="B20" s="1243"/>
      <c r="C20" s="158"/>
      <c r="D20" s="29"/>
      <c r="E20" s="29"/>
      <c r="F20" s="162" t="s">
        <v>312</v>
      </c>
      <c r="G20" s="152"/>
      <c r="H20" s="79"/>
      <c r="I20" s="79"/>
      <c r="J20" s="152"/>
    </row>
    <row r="21" spans="2:10" ht="12.75">
      <c r="B21" s="1243"/>
      <c r="C21" s="158"/>
      <c r="D21" s="29"/>
      <c r="E21" s="29"/>
      <c r="F21" s="79"/>
      <c r="G21" s="152"/>
      <c r="H21" s="79"/>
      <c r="I21" s="79"/>
      <c r="J21" s="152"/>
    </row>
    <row r="22" spans="2:10" ht="12.75">
      <c r="B22" s="1243"/>
      <c r="C22" s="158"/>
      <c r="D22" s="29"/>
      <c r="E22" s="29"/>
      <c r="F22" s="79"/>
      <c r="G22" s="152"/>
      <c r="H22" s="1527"/>
      <c r="I22" s="1527"/>
      <c r="J22" s="152"/>
    </row>
    <row r="23" spans="2:10" ht="12.75">
      <c r="B23" s="1243"/>
      <c r="C23" s="158"/>
      <c r="D23" s="29"/>
      <c r="E23" s="29"/>
      <c r="F23" s="79"/>
      <c r="G23" s="152"/>
      <c r="H23" s="1526"/>
      <c r="I23" s="1526"/>
      <c r="J23" s="152"/>
    </row>
    <row r="24" spans="2:10" ht="12.75">
      <c r="B24" s="1342"/>
      <c r="C24" s="158"/>
      <c r="D24" s="29"/>
      <c r="E24" s="29"/>
      <c r="F24" s="79"/>
      <c r="G24" s="152"/>
      <c r="H24" s="1245"/>
      <c r="I24" s="1245"/>
      <c r="J24" s="152"/>
    </row>
    <row r="25" spans="2:10" ht="12.75">
      <c r="B25" s="1343"/>
      <c r="C25" s="158"/>
      <c r="D25" s="29"/>
      <c r="E25" s="29"/>
      <c r="F25" s="79"/>
      <c r="G25" s="152"/>
      <c r="H25" s="966"/>
      <c r="I25" s="966"/>
      <c r="J25" s="152"/>
    </row>
    <row r="26" spans="2:10" ht="12.75">
      <c r="B26" s="1243"/>
      <c r="C26" s="158"/>
      <c r="D26" s="29"/>
      <c r="E26" s="29"/>
      <c r="F26" s="79"/>
      <c r="G26" s="152"/>
      <c r="H26" s="1246"/>
      <c r="I26" s="966"/>
      <c r="J26" s="152"/>
    </row>
    <row r="27" spans="2:10" ht="12.75">
      <c r="B27" s="1243"/>
      <c r="C27" s="158"/>
      <c r="D27" s="29"/>
      <c r="E27" s="29"/>
      <c r="F27" s="79"/>
      <c r="G27" s="152"/>
      <c r="H27" s="1246"/>
      <c r="I27" s="966"/>
      <c r="J27" s="152"/>
    </row>
    <row r="28" spans="2:10" ht="12.75" customHeight="1">
      <c r="B28" s="1243"/>
      <c r="C28" s="158"/>
      <c r="D28" s="29"/>
      <c r="E28" s="29"/>
      <c r="F28" s="79"/>
      <c r="G28" s="152"/>
      <c r="H28" s="1247"/>
      <c r="I28" s="966"/>
      <c r="J28" s="152"/>
    </row>
    <row r="29" spans="2:10" ht="12.75">
      <c r="B29" s="1243"/>
      <c r="C29" s="158"/>
      <c r="D29" s="29"/>
      <c r="E29" s="29"/>
      <c r="F29" s="79"/>
      <c r="G29" s="152"/>
      <c r="H29" s="1248"/>
      <c r="I29" s="966"/>
      <c r="J29" s="152"/>
    </row>
    <row r="30" spans="2:10" ht="12.75">
      <c r="B30" s="1243"/>
      <c r="C30" s="158"/>
      <c r="D30" s="29"/>
      <c r="E30" s="158"/>
      <c r="F30" s="79"/>
      <c r="G30" s="159"/>
      <c r="H30" s="1249"/>
      <c r="I30" s="966"/>
      <c r="J30" s="152"/>
    </row>
    <row r="31" spans="2:10" ht="12.75">
      <c r="B31" s="1243"/>
      <c r="C31" s="158"/>
      <c r="D31" s="29"/>
      <c r="E31" s="158"/>
      <c r="G31" s="159"/>
      <c r="H31" s="1250"/>
      <c r="I31" s="1251"/>
      <c r="J31" s="152"/>
    </row>
    <row r="32" spans="2:10" ht="12.75">
      <c r="B32" s="1243"/>
      <c r="C32" s="29"/>
      <c r="D32" s="1243"/>
      <c r="E32" s="79"/>
      <c r="G32" s="159"/>
      <c r="H32" s="79"/>
      <c r="I32" s="79"/>
      <c r="J32" s="152"/>
    </row>
    <row r="33" spans="2:10" ht="12.75">
      <c r="B33" s="79"/>
      <c r="C33" s="29"/>
      <c r="D33" s="79"/>
      <c r="E33" s="79"/>
      <c r="G33" s="152"/>
      <c r="H33" s="152"/>
      <c r="I33" s="152"/>
      <c r="J33" s="152"/>
    </row>
    <row r="34" spans="7:10" ht="12.75">
      <c r="G34" s="152"/>
      <c r="J34" s="141"/>
    </row>
    <row r="35" spans="7:10" ht="12.75">
      <c r="G35" s="152"/>
      <c r="J35" s="141"/>
    </row>
    <row r="36" spans="2:10" ht="12.75">
      <c r="B36" s="140"/>
      <c r="G36" s="79"/>
      <c r="J36" s="141"/>
    </row>
    <row r="37" spans="2:10" ht="12.75">
      <c r="B37" s="168"/>
      <c r="J37" s="141"/>
    </row>
    <row r="38" ht="12.75">
      <c r="J38" s="141"/>
    </row>
    <row r="39" ht="12.75">
      <c r="J39" s="141"/>
    </row>
    <row r="40" ht="12.75">
      <c r="J40" s="141"/>
    </row>
    <row r="41" spans="2:10" ht="12.75">
      <c r="B41" s="140"/>
      <c r="J41" s="141"/>
    </row>
    <row r="42" ht="12.75">
      <c r="J42" s="141"/>
    </row>
    <row r="43" spans="8:10" ht="12.75">
      <c r="H43" s="141"/>
      <c r="J43" s="141"/>
    </row>
    <row r="44" ht="12.75">
      <c r="J44" s="141"/>
    </row>
    <row r="45" spans="2:10" ht="12.75">
      <c r="B45" s="140"/>
      <c r="C45" s="1401"/>
      <c r="I45" s="141"/>
      <c r="J45" s="141"/>
    </row>
    <row r="46" spans="2:10" ht="12.75">
      <c r="B46" s="168"/>
      <c r="J46" s="141"/>
    </row>
    <row r="47" spans="3:10" ht="12.75">
      <c r="C47" s="141"/>
      <c r="J47" s="141"/>
    </row>
    <row r="48" ht="12.75">
      <c r="J48" s="141"/>
    </row>
    <row r="49" spans="6:10" ht="12.75">
      <c r="F49" s="141"/>
      <c r="J49" s="141"/>
    </row>
    <row r="50" spans="2:10" ht="12.75">
      <c r="B50" s="140"/>
      <c r="J50" s="141"/>
    </row>
    <row r="51" spans="2:10" ht="12.75">
      <c r="B51" s="168"/>
      <c r="J51" s="141"/>
    </row>
    <row r="52" spans="2:10" ht="12.75">
      <c r="B52" s="141"/>
      <c r="D52" s="141"/>
      <c r="E52" s="141"/>
      <c r="G52" s="141"/>
      <c r="J52" s="141"/>
    </row>
  </sheetData>
  <sheetProtection password="DAD6" sheet="1" formatCells="0" formatColumns="0" formatRows="0" insertColumns="0" insertRows="0" insertHyperlinks="0" deleteColumns="0" deleteRows="0" sort="0" autoFilter="0" pivotTables="0"/>
  <mergeCells count="3">
    <mergeCell ref="H23:I23"/>
    <mergeCell ref="H22:I22"/>
    <mergeCell ref="C14:C17"/>
  </mergeCells>
  <hyperlinks>
    <hyperlink ref="F10" location="'Domestic Business Results'!A1" display="Domestic Business Results"/>
    <hyperlink ref="F11" location="'Domestic Wireline Results'!A1" display="Domestic Wireline Results"/>
    <hyperlink ref="F12" location="'Domestic Mobile Results'!A1" display="Domestic Mobile Results"/>
    <hyperlink ref="F13" location="'TIM Brasil Results'!A1" display="TIM Brasil Results"/>
    <hyperlink ref="F14" location="'European BroadBand'!A1" display="European BroadBand"/>
    <hyperlink ref="F18" location="'Main Group''s Subsidiries'!A1" display="Main Group's Subsidiaries"/>
    <hyperlink ref="F6" location="'Key fin data by BU YTD'!A1" display="Key Financial data by BU YTD"/>
    <hyperlink ref="F19" location="'Analyst Tools'!A1" display="Analyst Tools"/>
    <hyperlink ref="F5" location="'P&amp;L Group by quarter'!A1" display="P&amp;L Group by quarter"/>
    <hyperlink ref="F7" location="'Key fin. data by BU by quarter'!A1" display="Key Financial data by quarter"/>
    <hyperlink ref="F4" location="'P&amp;L Group YTD'!A1" display="P&amp;L Group YTD"/>
    <hyperlink ref="F8" location="'Balance Sheet'!A1" display="Balance Sheet"/>
    <hyperlink ref="F9" location="'Cashflow Statement'!A1" display="Cashflow Statement"/>
    <hyperlink ref="F15" location="'1Q Rep&amp;org.'!A1" display="Repoerted &amp; Organic figures"/>
    <hyperlink ref="F16" location="'2Q Rep&amp;org.'!A1" display="Reported &amp; Organic figures 2Q08 vs 2Q07"/>
    <hyperlink ref="F17" location="'3Q Rep&amp;org.'!A1" display="Reported &amp; Organic figures 3Q08 vs 3Q07"/>
    <hyperlink ref="F20" location="Cover!A1" display="Cover"/>
  </hyperlinks>
  <printOptions horizontalCentered="1" verticalCentered="1"/>
  <pageMargins left="0" right="0" top="0" bottom="0" header="0.5118110236220472" footer="0.31496062992125984"/>
  <pageSetup horizontalDpi="600" verticalDpi="600" orientation="landscape" paperSize="9" scale="115" r:id="rId2"/>
  <drawing r:id="rId1"/>
</worksheet>
</file>

<file path=xl/worksheets/sheet19.xml><?xml version="1.0" encoding="utf-8"?>
<worksheet xmlns="http://schemas.openxmlformats.org/spreadsheetml/2006/main" xmlns:r="http://schemas.openxmlformats.org/officeDocument/2006/relationships">
  <sheetPr codeName="Sheet1">
    <tabColor indexed="46"/>
    <pageSetUpPr fitToPage="1"/>
  </sheetPr>
  <dimension ref="A1:N38"/>
  <sheetViews>
    <sheetView workbookViewId="0" topLeftCell="A1">
      <selection activeCell="J56" sqref="J55:J56"/>
    </sheetView>
  </sheetViews>
  <sheetFormatPr defaultColWidth="9.140625" defaultRowHeight="12.75"/>
  <cols>
    <col min="1" max="1" width="18.28125" style="0" bestFit="1" customWidth="1"/>
    <col min="2" max="2" width="8.140625" style="0" customWidth="1"/>
    <col min="3" max="3" width="7.57421875" style="0" customWidth="1"/>
    <col min="4" max="4" width="9.7109375" style="0" customWidth="1"/>
    <col min="5" max="6" width="8.421875" style="0" customWidth="1"/>
    <col min="7" max="12" width="8.140625" style="0" customWidth="1"/>
    <col min="13" max="13" width="11.28125" style="0" bestFit="1" customWidth="1"/>
  </cols>
  <sheetData>
    <row r="1" spans="1:13" ht="50.25" customHeight="1">
      <c r="A1" s="1354" t="s">
        <v>0</v>
      </c>
      <c r="B1" s="1369" t="s">
        <v>477</v>
      </c>
      <c r="C1" s="1368" t="s">
        <v>472</v>
      </c>
      <c r="D1" s="1368" t="s">
        <v>474</v>
      </c>
      <c r="E1" s="1368" t="s">
        <v>473</v>
      </c>
      <c r="F1" s="1369" t="s">
        <v>475</v>
      </c>
      <c r="G1" s="1368"/>
      <c r="H1" s="1368" t="s">
        <v>479</v>
      </c>
      <c r="I1" s="1368" t="s">
        <v>480</v>
      </c>
      <c r="J1" s="1368"/>
      <c r="K1" s="1369" t="s">
        <v>476</v>
      </c>
      <c r="L1" s="1368" t="s">
        <v>473</v>
      </c>
      <c r="M1" s="1369" t="s">
        <v>478</v>
      </c>
    </row>
    <row r="2" spans="1:14" ht="12.75">
      <c r="A2" t="s">
        <v>7</v>
      </c>
      <c r="B2" s="1367">
        <v>6173</v>
      </c>
      <c r="C2" s="1367">
        <v>-1</v>
      </c>
      <c r="D2" s="1367">
        <v>-11</v>
      </c>
      <c r="E2" s="1367"/>
      <c r="F2" s="1367">
        <v>6161</v>
      </c>
      <c r="G2" s="1367"/>
      <c r="H2" s="1367">
        <v>-336</v>
      </c>
      <c r="I2" s="1366">
        <v>-5.5</v>
      </c>
      <c r="J2" s="1367"/>
      <c r="K2" s="1367">
        <v>5825</v>
      </c>
      <c r="L2" s="1367">
        <v>-24</v>
      </c>
      <c r="M2" s="1367">
        <v>5801</v>
      </c>
      <c r="N2" s="1367"/>
    </row>
    <row r="3" spans="1:14" ht="12.75">
      <c r="A3" t="s">
        <v>397</v>
      </c>
      <c r="B3" s="1367">
        <v>3994</v>
      </c>
      <c r="C3" s="1367">
        <v>-1</v>
      </c>
      <c r="D3" s="1367">
        <v>-11</v>
      </c>
      <c r="E3" s="1367"/>
      <c r="F3" s="1367">
        <v>3982</v>
      </c>
      <c r="G3" s="1367"/>
      <c r="H3" s="1367">
        <v>-219</v>
      </c>
      <c r="I3" s="1366">
        <v>-5.5</v>
      </c>
      <c r="J3" s="1367"/>
      <c r="K3" s="1367">
        <v>3763</v>
      </c>
      <c r="L3" s="1367">
        <v>-24</v>
      </c>
      <c r="M3" s="1367">
        <v>3739</v>
      </c>
      <c r="N3" s="1367"/>
    </row>
    <row r="4" spans="1:14" ht="12.75">
      <c r="A4" t="s">
        <v>468</v>
      </c>
      <c r="B4" s="1367">
        <v>2551</v>
      </c>
      <c r="C4" s="1367">
        <v>0</v>
      </c>
      <c r="D4" s="1367">
        <v>0</v>
      </c>
      <c r="E4" s="1367"/>
      <c r="F4" s="1367">
        <v>2551</v>
      </c>
      <c r="G4" s="1367"/>
      <c r="H4" s="1367">
        <v>-118</v>
      </c>
      <c r="I4" s="1366">
        <v>-4.6</v>
      </c>
      <c r="J4" s="1367"/>
      <c r="K4" s="1367">
        <v>2433</v>
      </c>
      <c r="L4" s="1367">
        <v>0</v>
      </c>
      <c r="M4" s="1367">
        <v>2433</v>
      </c>
      <c r="N4" s="1367"/>
    </row>
    <row r="5" spans="1:14" ht="12.75" hidden="1">
      <c r="A5" t="s">
        <v>469</v>
      </c>
      <c r="B5" s="1367">
        <v>362</v>
      </c>
      <c r="C5" s="1367">
        <v>0</v>
      </c>
      <c r="D5" s="1367">
        <v>0</v>
      </c>
      <c r="E5" s="1367"/>
      <c r="F5" s="1367">
        <v>362</v>
      </c>
      <c r="G5" s="1367"/>
      <c r="H5" s="1367">
        <v>9</v>
      </c>
      <c r="I5" s="1366">
        <v>2.5</v>
      </c>
      <c r="J5" s="1367"/>
      <c r="K5" s="1367">
        <v>371</v>
      </c>
      <c r="L5" s="1367">
        <v>0</v>
      </c>
      <c r="M5" s="1367">
        <v>371</v>
      </c>
      <c r="N5" s="1367"/>
    </row>
    <row r="6" spans="1:14" ht="13.5" customHeight="1">
      <c r="A6" t="s">
        <v>470</v>
      </c>
      <c r="B6" s="1367">
        <v>296</v>
      </c>
      <c r="C6" s="1367">
        <v>0</v>
      </c>
      <c r="D6" s="1367">
        <v>0</v>
      </c>
      <c r="E6" s="1367"/>
      <c r="F6" s="1367">
        <v>296</v>
      </c>
      <c r="G6" s="1367"/>
      <c r="H6" s="1367">
        <v>23</v>
      </c>
      <c r="I6" s="1366">
        <v>7.8</v>
      </c>
      <c r="J6" s="1367"/>
      <c r="K6" s="1367">
        <v>319</v>
      </c>
      <c r="L6" s="1367">
        <v>0</v>
      </c>
      <c r="M6" s="1367">
        <v>319</v>
      </c>
      <c r="N6" s="1367"/>
    </row>
    <row r="7" spans="1:14" ht="12.75" hidden="1">
      <c r="A7" t="s">
        <v>466</v>
      </c>
      <c r="B7" s="1367">
        <v>278</v>
      </c>
      <c r="C7" s="1367">
        <v>0</v>
      </c>
      <c r="D7" s="1367">
        <v>0</v>
      </c>
      <c r="E7" s="1367"/>
      <c r="F7" s="1367">
        <v>278</v>
      </c>
      <c r="G7" s="1367"/>
      <c r="H7" s="1367">
        <v>20</v>
      </c>
      <c r="I7" s="1366">
        <v>7.2</v>
      </c>
      <c r="J7" s="1367"/>
      <c r="K7" s="1367">
        <v>298</v>
      </c>
      <c r="L7" s="1367">
        <v>0</v>
      </c>
      <c r="M7" s="1367">
        <v>298</v>
      </c>
      <c r="N7" s="1367"/>
    </row>
    <row r="8" spans="1:14" ht="12.75">
      <c r="A8" t="s">
        <v>471</v>
      </c>
      <c r="B8" s="1367">
        <v>1222</v>
      </c>
      <c r="C8" s="1367">
        <v>0</v>
      </c>
      <c r="D8" s="1367">
        <v>44</v>
      </c>
      <c r="E8" s="1367"/>
      <c r="F8" s="1367">
        <v>1266</v>
      </c>
      <c r="G8" s="1367"/>
      <c r="H8" s="1367">
        <v>47</v>
      </c>
      <c r="I8" s="1366">
        <v>3.8</v>
      </c>
      <c r="J8" s="1367"/>
      <c r="K8" s="1367">
        <v>1313</v>
      </c>
      <c r="L8" s="1367">
        <v>0</v>
      </c>
      <c r="M8" s="1367">
        <v>1313</v>
      </c>
      <c r="N8" s="1367"/>
    </row>
    <row r="9" spans="1:14" ht="12.75">
      <c r="A9" t="s">
        <v>408</v>
      </c>
      <c r="B9" s="1367">
        <v>67</v>
      </c>
      <c r="C9" s="1367">
        <v>0</v>
      </c>
      <c r="D9" s="1367">
        <v>0</v>
      </c>
      <c r="E9" s="1367"/>
      <c r="F9" s="1367">
        <v>67</v>
      </c>
      <c r="G9" s="1367"/>
      <c r="H9" s="1367">
        <v>7</v>
      </c>
      <c r="I9" s="1366">
        <v>10.4</v>
      </c>
      <c r="J9" s="1367"/>
      <c r="K9" s="1367">
        <v>74</v>
      </c>
      <c r="L9" s="1367">
        <v>0</v>
      </c>
      <c r="M9" s="1367">
        <v>74</v>
      </c>
      <c r="N9" s="1367"/>
    </row>
    <row r="10" spans="1:14" ht="12.75">
      <c r="A10" t="s">
        <v>9</v>
      </c>
      <c r="B10" s="1367">
        <v>109</v>
      </c>
      <c r="C10" s="1367">
        <v>-3</v>
      </c>
      <c r="D10" s="1367">
        <v>-3</v>
      </c>
      <c r="E10" s="1367"/>
      <c r="F10" s="1367">
        <v>103</v>
      </c>
      <c r="G10" s="1367"/>
      <c r="H10" s="1367">
        <v>-6</v>
      </c>
      <c r="I10" s="1366">
        <v>-5.8</v>
      </c>
      <c r="J10" s="1367"/>
      <c r="K10" s="1367">
        <v>97</v>
      </c>
      <c r="L10" s="1367">
        <v>0</v>
      </c>
      <c r="M10" s="1367">
        <v>97</v>
      </c>
      <c r="N10" s="1367"/>
    </row>
    <row r="11" spans="1:14" ht="12.75">
      <c r="A11" t="s">
        <v>187</v>
      </c>
      <c r="B11" s="1367">
        <v>49</v>
      </c>
      <c r="C11" s="1367">
        <v>-46</v>
      </c>
      <c r="D11" s="1367">
        <v>0</v>
      </c>
      <c r="E11" s="1367"/>
      <c r="F11" s="1367">
        <v>3</v>
      </c>
      <c r="G11" s="1367"/>
      <c r="H11" s="1367">
        <v>19</v>
      </c>
      <c r="I11" s="1366">
        <v>633.3</v>
      </c>
      <c r="J11" s="1367"/>
      <c r="K11" s="1367">
        <v>22</v>
      </c>
      <c r="L11" s="1367">
        <v>0</v>
      </c>
      <c r="M11" s="1367">
        <v>22</v>
      </c>
      <c r="N11" s="1367"/>
    </row>
    <row r="12" spans="1:14" ht="12.75" hidden="1">
      <c r="A12" t="s">
        <v>55</v>
      </c>
      <c r="B12" s="1367">
        <v>46</v>
      </c>
      <c r="C12" s="1367">
        <v>-46</v>
      </c>
      <c r="D12" s="1367">
        <v>0</v>
      </c>
      <c r="E12" s="1367"/>
      <c r="F12" s="1367">
        <v>0</v>
      </c>
      <c r="G12" s="1367"/>
      <c r="H12" s="1367">
        <v>0</v>
      </c>
      <c r="I12" s="1366" t="s">
        <v>333</v>
      </c>
      <c r="J12" s="1367"/>
      <c r="K12" s="1367">
        <v>0</v>
      </c>
      <c r="L12" s="1367">
        <v>0</v>
      </c>
      <c r="M12" s="1367">
        <v>0</v>
      </c>
      <c r="N12" s="1367"/>
    </row>
    <row r="13" spans="1:13" ht="12.75">
      <c r="A13" t="s">
        <v>467</v>
      </c>
      <c r="B13" s="1367">
        <v>-54</v>
      </c>
      <c r="C13" s="1367">
        <v>5</v>
      </c>
      <c r="D13" s="1367">
        <v>0</v>
      </c>
      <c r="E13" s="1367"/>
      <c r="F13" s="1367">
        <v>-49</v>
      </c>
      <c r="G13" s="1367"/>
      <c r="H13" s="1367">
        <v>-37</v>
      </c>
      <c r="I13" s="1366">
        <v>-75.5</v>
      </c>
      <c r="J13" s="1367"/>
      <c r="K13" s="1367">
        <v>-86</v>
      </c>
      <c r="L13" s="1367">
        <v>0</v>
      </c>
      <c r="M13" s="1367">
        <v>-86</v>
      </c>
    </row>
    <row r="14" spans="1:14" ht="12.75">
      <c r="A14" s="1354" t="s">
        <v>10</v>
      </c>
      <c r="B14" s="1370">
        <v>7862</v>
      </c>
      <c r="C14" s="1370">
        <v>-45</v>
      </c>
      <c r="D14" s="1370">
        <v>30</v>
      </c>
      <c r="E14" s="1370"/>
      <c r="F14" s="1370">
        <v>7847</v>
      </c>
      <c r="G14" s="1370"/>
      <c r="H14" s="1370">
        <v>-283</v>
      </c>
      <c r="I14" s="1371">
        <v>-3.6</v>
      </c>
      <c r="J14" s="1370"/>
      <c r="K14" s="1370">
        <v>7564</v>
      </c>
      <c r="L14" s="1370">
        <v>-24</v>
      </c>
      <c r="M14" s="1370">
        <v>7540</v>
      </c>
      <c r="N14" s="1367"/>
    </row>
    <row r="15" spans="1:12" ht="12.75">
      <c r="A15" s="1358"/>
      <c r="B15" s="1364"/>
      <c r="C15" s="1374"/>
      <c r="D15" s="1364"/>
      <c r="E15" s="1358"/>
      <c r="F15" s="1358"/>
      <c r="J15" s="1358"/>
      <c r="L15" s="1358"/>
    </row>
    <row r="16" spans="1:13" ht="51">
      <c r="A16" s="1354" t="s">
        <v>66</v>
      </c>
      <c r="B16" s="1369" t="s">
        <v>477</v>
      </c>
      <c r="C16" s="1368" t="s">
        <v>472</v>
      </c>
      <c r="D16" s="1368" t="s">
        <v>474</v>
      </c>
      <c r="E16" s="1368" t="s">
        <v>473</v>
      </c>
      <c r="F16" s="1369" t="s">
        <v>475</v>
      </c>
      <c r="G16" s="1368"/>
      <c r="H16" s="1368" t="s">
        <v>479</v>
      </c>
      <c r="I16" s="1368" t="s">
        <v>480</v>
      </c>
      <c r="J16" s="1368"/>
      <c r="K16" s="1369" t="s">
        <v>476</v>
      </c>
      <c r="L16" s="1368" t="s">
        <v>473</v>
      </c>
      <c r="M16" s="1369" t="s">
        <v>478</v>
      </c>
    </row>
    <row r="17" spans="1:13" ht="12.75">
      <c r="A17" t="s">
        <v>7</v>
      </c>
      <c r="B17" s="1358">
        <v>2766</v>
      </c>
      <c r="C17">
        <v>3</v>
      </c>
      <c r="D17">
        <v>-1</v>
      </c>
      <c r="E17">
        <v>53</v>
      </c>
      <c r="F17" s="1358">
        <v>2821</v>
      </c>
      <c r="H17">
        <v>-244</v>
      </c>
      <c r="I17">
        <v>-8.6</v>
      </c>
      <c r="K17" s="1358">
        <v>2577</v>
      </c>
      <c r="L17">
        <v>-313</v>
      </c>
      <c r="M17" s="1358">
        <v>2264</v>
      </c>
    </row>
    <row r="18" spans="1:13" ht="12.75">
      <c r="A18" t="s">
        <v>470</v>
      </c>
      <c r="B18">
        <v>74</v>
      </c>
      <c r="C18">
        <v>0</v>
      </c>
      <c r="D18">
        <v>0</v>
      </c>
      <c r="E18">
        <v>0</v>
      </c>
      <c r="F18">
        <v>74</v>
      </c>
      <c r="H18">
        <v>-16</v>
      </c>
      <c r="I18">
        <v>-21.6</v>
      </c>
      <c r="K18">
        <v>58</v>
      </c>
      <c r="L18">
        <v>0</v>
      </c>
      <c r="M18">
        <v>58</v>
      </c>
    </row>
    <row r="19" spans="1:13" ht="12.75" hidden="1">
      <c r="A19" t="s">
        <v>466</v>
      </c>
      <c r="B19">
        <v>70</v>
      </c>
      <c r="C19">
        <v>0</v>
      </c>
      <c r="D19">
        <v>0</v>
      </c>
      <c r="E19">
        <v>0</v>
      </c>
      <c r="F19">
        <v>70</v>
      </c>
      <c r="H19">
        <v>-14</v>
      </c>
      <c r="I19">
        <v>-20</v>
      </c>
      <c r="K19">
        <v>56</v>
      </c>
      <c r="L19">
        <v>0</v>
      </c>
      <c r="M19">
        <v>56</v>
      </c>
    </row>
    <row r="20" spans="1:13" ht="12.75">
      <c r="A20" t="s">
        <v>471</v>
      </c>
      <c r="B20">
        <v>316</v>
      </c>
      <c r="C20">
        <v>0</v>
      </c>
      <c r="D20">
        <v>10</v>
      </c>
      <c r="E20">
        <v>0</v>
      </c>
      <c r="F20">
        <v>326</v>
      </c>
      <c r="H20">
        <v>-47</v>
      </c>
      <c r="I20">
        <v>-14.9</v>
      </c>
      <c r="K20">
        <v>279</v>
      </c>
      <c r="L20">
        <v>0</v>
      </c>
      <c r="M20">
        <v>279</v>
      </c>
    </row>
    <row r="21" spans="1:13" ht="12.75">
      <c r="A21" t="s">
        <v>408</v>
      </c>
      <c r="B21">
        <v>-10</v>
      </c>
      <c r="C21">
        <v>0</v>
      </c>
      <c r="D21">
        <v>0</v>
      </c>
      <c r="E21">
        <v>0</v>
      </c>
      <c r="F21">
        <v>-10</v>
      </c>
      <c r="H21">
        <v>-4</v>
      </c>
      <c r="I21">
        <v>-40</v>
      </c>
      <c r="K21">
        <v>-14</v>
      </c>
      <c r="L21">
        <v>0</v>
      </c>
      <c r="M21">
        <v>-14</v>
      </c>
    </row>
    <row r="22" spans="1:13" ht="12.75">
      <c r="A22" t="s">
        <v>9</v>
      </c>
      <c r="B22">
        <v>-7</v>
      </c>
      <c r="C22">
        <v>-3</v>
      </c>
      <c r="D22">
        <v>-2</v>
      </c>
      <c r="E22">
        <v>0</v>
      </c>
      <c r="F22">
        <v>-12</v>
      </c>
      <c r="H22">
        <v>7</v>
      </c>
      <c r="I22">
        <v>58.3</v>
      </c>
      <c r="K22">
        <v>-5</v>
      </c>
      <c r="L22">
        <v>0</v>
      </c>
      <c r="M22">
        <v>-5</v>
      </c>
    </row>
    <row r="23" spans="1:13" ht="12.75">
      <c r="A23" t="s">
        <v>187</v>
      </c>
      <c r="B23">
        <v>18</v>
      </c>
      <c r="C23">
        <v>-20</v>
      </c>
      <c r="D23">
        <v>0</v>
      </c>
      <c r="E23">
        <v>0</v>
      </c>
      <c r="F23">
        <v>-2</v>
      </c>
      <c r="H23">
        <v>-1</v>
      </c>
      <c r="I23">
        <v>-50</v>
      </c>
      <c r="K23">
        <v>-3</v>
      </c>
      <c r="L23">
        <v>0</v>
      </c>
      <c r="M23">
        <v>-3</v>
      </c>
    </row>
    <row r="24" spans="1:13" ht="12.75" hidden="1">
      <c r="A24" t="s">
        <v>55</v>
      </c>
      <c r="B24">
        <v>20</v>
      </c>
      <c r="C24">
        <v>-20</v>
      </c>
      <c r="D24">
        <v>0</v>
      </c>
      <c r="E24">
        <v>0</v>
      </c>
      <c r="F24">
        <v>0</v>
      </c>
      <c r="H24">
        <v>0</v>
      </c>
      <c r="I24" t="s">
        <v>333</v>
      </c>
      <c r="K24">
        <v>0</v>
      </c>
      <c r="L24">
        <v>0</v>
      </c>
      <c r="M24">
        <v>0</v>
      </c>
    </row>
    <row r="25" spans="1:13" ht="12.75">
      <c r="A25" t="s">
        <v>467</v>
      </c>
      <c r="B25">
        <v>0</v>
      </c>
      <c r="C25">
        <v>0</v>
      </c>
      <c r="D25">
        <v>0</v>
      </c>
      <c r="E25">
        <v>0</v>
      </c>
      <c r="F25">
        <v>0</v>
      </c>
      <c r="H25">
        <v>-10</v>
      </c>
      <c r="I25" t="s">
        <v>333</v>
      </c>
      <c r="K25">
        <v>-10</v>
      </c>
      <c r="L25">
        <v>0</v>
      </c>
      <c r="M25">
        <v>-10</v>
      </c>
    </row>
    <row r="26" spans="1:13" ht="12.75">
      <c r="A26" s="1354" t="s">
        <v>10</v>
      </c>
      <c r="B26" s="1370">
        <v>3157</v>
      </c>
      <c r="C26" s="1370">
        <v>-20</v>
      </c>
      <c r="D26" s="1370">
        <v>7</v>
      </c>
      <c r="E26" s="1370">
        <v>53</v>
      </c>
      <c r="F26" s="1370">
        <v>3197</v>
      </c>
      <c r="G26" s="1370"/>
      <c r="H26" s="1370">
        <v>-315</v>
      </c>
      <c r="I26" s="1371">
        <v>-9.9</v>
      </c>
      <c r="J26" s="1370"/>
      <c r="K26" s="1370">
        <v>2882</v>
      </c>
      <c r="L26" s="1370">
        <v>-313</v>
      </c>
      <c r="M26" s="1370">
        <v>2569</v>
      </c>
    </row>
    <row r="27" spans="2:9" ht="12.75">
      <c r="B27" s="1364"/>
      <c r="C27" s="1364"/>
      <c r="H27" s="1364"/>
      <c r="I27" s="1364"/>
    </row>
    <row r="28" spans="1:13" ht="51">
      <c r="A28" s="1354" t="s">
        <v>47</v>
      </c>
      <c r="B28" s="1369" t="s">
        <v>477</v>
      </c>
      <c r="C28" s="1368" t="s">
        <v>472</v>
      </c>
      <c r="D28" s="1368" t="s">
        <v>474</v>
      </c>
      <c r="E28" s="1368" t="s">
        <v>473</v>
      </c>
      <c r="F28" s="1369" t="s">
        <v>475</v>
      </c>
      <c r="G28" s="1368"/>
      <c r="H28" s="1368" t="s">
        <v>479</v>
      </c>
      <c r="I28" s="1368" t="s">
        <v>480</v>
      </c>
      <c r="J28" s="1368"/>
      <c r="K28" s="1369" t="s">
        <v>476</v>
      </c>
      <c r="L28" s="1368" t="s">
        <v>473</v>
      </c>
      <c r="M28" s="1369" t="s">
        <v>478</v>
      </c>
    </row>
    <row r="29" spans="1:13" ht="12.75">
      <c r="A29" t="s">
        <v>7</v>
      </c>
      <c r="B29" s="1358">
        <v>1666</v>
      </c>
      <c r="C29">
        <v>3</v>
      </c>
      <c r="D29">
        <v>-2</v>
      </c>
      <c r="E29">
        <v>53</v>
      </c>
      <c r="F29" s="1358">
        <v>1720</v>
      </c>
      <c r="H29" s="1373">
        <v>-294</v>
      </c>
      <c r="I29" s="1372">
        <v>-17.1</v>
      </c>
      <c r="K29" s="1358">
        <v>1426</v>
      </c>
      <c r="L29">
        <v>-313</v>
      </c>
      <c r="M29" s="1358">
        <v>1113</v>
      </c>
    </row>
    <row r="30" spans="1:13" ht="12.75">
      <c r="A30" t="s">
        <v>470</v>
      </c>
      <c r="B30">
        <v>30</v>
      </c>
      <c r="C30">
        <v>2</v>
      </c>
      <c r="D30">
        <v>0</v>
      </c>
      <c r="E30">
        <v>0</v>
      </c>
      <c r="F30">
        <v>32</v>
      </c>
      <c r="H30" s="1373">
        <v>-36</v>
      </c>
      <c r="I30" s="1372" t="s">
        <v>333</v>
      </c>
      <c r="K30">
        <v>-4</v>
      </c>
      <c r="L30">
        <v>0</v>
      </c>
      <c r="M30">
        <v>-4</v>
      </c>
    </row>
    <row r="31" spans="1:13" ht="12.75" hidden="1">
      <c r="A31" t="s">
        <v>466</v>
      </c>
      <c r="B31">
        <v>30</v>
      </c>
      <c r="C31">
        <v>2</v>
      </c>
      <c r="D31">
        <v>0</v>
      </c>
      <c r="E31">
        <v>0</v>
      </c>
      <c r="F31">
        <v>32</v>
      </c>
      <c r="H31" s="1373">
        <v>-32</v>
      </c>
      <c r="I31" s="1372">
        <v>-100</v>
      </c>
      <c r="K31">
        <v>0</v>
      </c>
      <c r="L31">
        <v>0</v>
      </c>
      <c r="M31">
        <v>0</v>
      </c>
    </row>
    <row r="32" spans="1:13" ht="12.75">
      <c r="A32" t="s">
        <v>471</v>
      </c>
      <c r="B32">
        <v>53</v>
      </c>
      <c r="C32">
        <v>0</v>
      </c>
      <c r="D32">
        <v>1</v>
      </c>
      <c r="E32">
        <v>0</v>
      </c>
      <c r="F32">
        <v>54</v>
      </c>
      <c r="H32" s="1373">
        <v>-39</v>
      </c>
      <c r="I32" s="1372">
        <v>-72.7</v>
      </c>
      <c r="K32">
        <v>15</v>
      </c>
      <c r="L32">
        <v>0</v>
      </c>
      <c r="M32">
        <v>15</v>
      </c>
    </row>
    <row r="33" spans="1:13" ht="12.75">
      <c r="A33" t="s">
        <v>408</v>
      </c>
      <c r="B33">
        <v>-26</v>
      </c>
      <c r="C33">
        <v>0</v>
      </c>
      <c r="D33">
        <v>0</v>
      </c>
      <c r="E33">
        <v>0</v>
      </c>
      <c r="F33">
        <v>-26</v>
      </c>
      <c r="H33" s="1373">
        <v>-6</v>
      </c>
      <c r="I33" s="1372">
        <v>-23.1</v>
      </c>
      <c r="K33">
        <v>-32</v>
      </c>
      <c r="L33">
        <v>0</v>
      </c>
      <c r="M33">
        <v>-32</v>
      </c>
    </row>
    <row r="34" spans="1:13" ht="12.75">
      <c r="A34" t="s">
        <v>9</v>
      </c>
      <c r="B34">
        <v>-10</v>
      </c>
      <c r="C34">
        <v>-3</v>
      </c>
      <c r="D34">
        <v>-2</v>
      </c>
      <c r="E34">
        <v>-1</v>
      </c>
      <c r="F34">
        <v>-16</v>
      </c>
      <c r="H34" s="1373">
        <v>9</v>
      </c>
      <c r="I34" s="1372">
        <v>56.3</v>
      </c>
      <c r="K34">
        <v>-7</v>
      </c>
      <c r="L34">
        <v>0</v>
      </c>
      <c r="M34">
        <v>-7</v>
      </c>
    </row>
    <row r="35" spans="1:13" ht="12.75">
      <c r="A35" t="s">
        <v>187</v>
      </c>
      <c r="B35">
        <v>10</v>
      </c>
      <c r="C35">
        <v>-12</v>
      </c>
      <c r="D35">
        <v>0</v>
      </c>
      <c r="E35">
        <v>0</v>
      </c>
      <c r="F35">
        <v>-2</v>
      </c>
      <c r="H35" s="1373">
        <v>-1</v>
      </c>
      <c r="I35" s="1372">
        <v>-50</v>
      </c>
      <c r="K35">
        <v>-3</v>
      </c>
      <c r="L35">
        <v>0</v>
      </c>
      <c r="M35">
        <v>-3</v>
      </c>
    </row>
    <row r="36" spans="1:13" ht="12.75" hidden="1">
      <c r="A36" t="s">
        <v>55</v>
      </c>
      <c r="B36">
        <v>12</v>
      </c>
      <c r="C36">
        <v>-12</v>
      </c>
      <c r="D36">
        <v>0</v>
      </c>
      <c r="E36">
        <v>0</v>
      </c>
      <c r="F36">
        <v>0</v>
      </c>
      <c r="H36" s="1373">
        <v>0</v>
      </c>
      <c r="I36" s="1372" t="s">
        <v>333</v>
      </c>
      <c r="K36">
        <v>0</v>
      </c>
      <c r="L36">
        <v>0</v>
      </c>
      <c r="M36">
        <v>0</v>
      </c>
    </row>
    <row r="37" spans="1:13" ht="12.75">
      <c r="A37" t="s">
        <v>467</v>
      </c>
      <c r="B37">
        <v>14</v>
      </c>
      <c r="C37">
        <v>0</v>
      </c>
      <c r="D37">
        <v>0</v>
      </c>
      <c r="E37">
        <v>0</v>
      </c>
      <c r="F37">
        <v>14</v>
      </c>
      <c r="H37" s="1373">
        <v>-16</v>
      </c>
      <c r="I37" s="1372" t="s">
        <v>333</v>
      </c>
      <c r="K37">
        <v>-2</v>
      </c>
      <c r="L37">
        <v>0</v>
      </c>
      <c r="M37">
        <v>-2</v>
      </c>
    </row>
    <row r="38" spans="1:13" ht="12.75">
      <c r="A38" s="1354" t="s">
        <v>10</v>
      </c>
      <c r="B38" s="1370">
        <v>1737</v>
      </c>
      <c r="C38" s="1370">
        <v>-10</v>
      </c>
      <c r="D38" s="1370">
        <v>-3</v>
      </c>
      <c r="E38" s="1370">
        <v>52</v>
      </c>
      <c r="F38" s="1370">
        <v>1776</v>
      </c>
      <c r="G38" s="1370"/>
      <c r="H38" s="1370">
        <v>-383</v>
      </c>
      <c r="I38" s="1371">
        <v>-21.6</v>
      </c>
      <c r="J38" s="1370"/>
      <c r="K38" s="1370">
        <v>1393</v>
      </c>
      <c r="L38" s="1370">
        <v>-313</v>
      </c>
      <c r="M38" s="1370">
        <v>1080</v>
      </c>
    </row>
  </sheetData>
  <printOptions/>
  <pageMargins left="0.75" right="0.75" top="1" bottom="1" header="0.5" footer="0.5"/>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codeName="Foglio2"/>
  <dimension ref="B1:AA49"/>
  <sheetViews>
    <sheetView showGridLines="0" zoomScaleSheetLayoutView="100" workbookViewId="0" topLeftCell="A1">
      <selection activeCell="C2" sqref="C2"/>
    </sheetView>
  </sheetViews>
  <sheetFormatPr defaultColWidth="9.140625" defaultRowHeight="12.75"/>
  <cols>
    <col min="1" max="1" width="0.9921875" style="3" customWidth="1"/>
    <col min="2" max="2" width="2.7109375" style="3" customWidth="1"/>
    <col min="3" max="3" width="46.8515625" style="3" customWidth="1"/>
    <col min="4" max="7" width="12.140625" style="3" hidden="1" customWidth="1"/>
    <col min="8" max="8" width="1.57421875" style="4" hidden="1" customWidth="1"/>
    <col min="9" max="10" width="12.140625" style="3" hidden="1" customWidth="1"/>
    <col min="11" max="11" width="11.8515625" style="3" hidden="1" customWidth="1"/>
    <col min="12" max="12" width="10.28125" style="3" hidden="1" customWidth="1"/>
    <col min="13" max="13" width="1.57421875" style="3" customWidth="1"/>
    <col min="14" max="15" width="12.140625" style="3" customWidth="1"/>
    <col min="16" max="16" width="11.8515625" style="3" customWidth="1"/>
    <col min="17" max="17" width="10.57421875" style="3" customWidth="1"/>
    <col min="18" max="18" width="1.8515625" style="3" customWidth="1"/>
    <col min="19" max="21" width="10.57421875" style="3" customWidth="1"/>
    <col min="22" max="22" width="2.28125" style="4" customWidth="1"/>
    <col min="23" max="23" width="2.7109375" style="3" customWidth="1"/>
    <col min="24" max="24" width="1.421875" style="3" customWidth="1"/>
    <col min="25" max="25" width="33.28125" style="3" bestFit="1" customWidth="1"/>
    <col min="26" max="16384" width="9.140625" style="3" customWidth="1"/>
  </cols>
  <sheetData>
    <row r="1" spans="2:3" ht="12.75">
      <c r="B1" s="1505"/>
      <c r="C1" s="1505"/>
    </row>
    <row r="2" spans="2:25" ht="24" customHeight="1">
      <c r="B2" s="1413"/>
      <c r="C2" s="957"/>
      <c r="D2" s="957"/>
      <c r="E2" s="957"/>
      <c r="F2" s="957"/>
      <c r="G2" s="957"/>
      <c r="H2" s="957"/>
      <c r="I2" s="957"/>
      <c r="J2" s="957"/>
      <c r="K2" s="957"/>
      <c r="L2" s="957"/>
      <c r="M2" s="957"/>
      <c r="N2" s="957"/>
      <c r="O2" s="957"/>
      <c r="P2" s="957"/>
      <c r="Q2" s="957"/>
      <c r="R2" s="957"/>
      <c r="S2" s="957"/>
      <c r="T2" s="957"/>
      <c r="U2" s="957"/>
      <c r="V2" s="958"/>
      <c r="W2" s="454"/>
      <c r="Y2" s="30" t="s">
        <v>59</v>
      </c>
    </row>
    <row r="3" spans="2:25" ht="24" customHeight="1">
      <c r="B3" s="114"/>
      <c r="C3" s="151"/>
      <c r="D3" s="151"/>
      <c r="E3" s="151"/>
      <c r="F3" s="151"/>
      <c r="G3" s="151"/>
      <c r="H3" s="151"/>
      <c r="I3" s="151"/>
      <c r="J3" s="151"/>
      <c r="K3" s="151"/>
      <c r="L3" s="151"/>
      <c r="M3" s="151"/>
      <c r="N3" s="151"/>
      <c r="O3" s="151"/>
      <c r="P3" s="151"/>
      <c r="Q3" s="1350"/>
      <c r="R3" s="151"/>
      <c r="S3" s="151"/>
      <c r="T3" s="151"/>
      <c r="U3" s="151"/>
      <c r="V3" s="116"/>
      <c r="W3" s="454"/>
      <c r="Y3" s="31" t="s">
        <v>56</v>
      </c>
    </row>
    <row r="4" spans="2:25" ht="24" customHeight="1">
      <c r="B4" s="114"/>
      <c r="C4" s="115"/>
      <c r="D4" s="1507" t="s">
        <v>342</v>
      </c>
      <c r="E4" s="1508"/>
      <c r="F4" s="1508"/>
      <c r="G4" s="1508"/>
      <c r="H4" s="1508"/>
      <c r="I4" s="1508"/>
      <c r="J4" s="1508"/>
      <c r="K4" s="1508"/>
      <c r="L4" s="1509"/>
      <c r="M4" s="115"/>
      <c r="N4" s="1506" t="s">
        <v>366</v>
      </c>
      <c r="O4" s="1506"/>
      <c r="P4" s="1506"/>
      <c r="Q4" s="1506"/>
      <c r="R4" s="115"/>
      <c r="S4" s="115"/>
      <c r="T4" s="115"/>
      <c r="U4" s="115"/>
      <c r="V4" s="116"/>
      <c r="W4" s="454"/>
      <c r="Y4" s="139" t="s">
        <v>208</v>
      </c>
    </row>
    <row r="5" spans="2:25" ht="12.75">
      <c r="B5" s="15"/>
      <c r="C5" s="16" t="s">
        <v>202</v>
      </c>
      <c r="D5" s="969" t="s">
        <v>2</v>
      </c>
      <c r="E5" s="18" t="s">
        <v>86</v>
      </c>
      <c r="F5" s="18" t="s">
        <v>87</v>
      </c>
      <c r="G5" s="18" t="s">
        <v>88</v>
      </c>
      <c r="H5" s="19"/>
      <c r="I5" s="20" t="s">
        <v>6</v>
      </c>
      <c r="J5" s="17" t="s">
        <v>148</v>
      </c>
      <c r="K5" s="17" t="s">
        <v>149</v>
      </c>
      <c r="L5" s="970" t="s">
        <v>226</v>
      </c>
      <c r="M5" s="32"/>
      <c r="N5" s="20" t="s">
        <v>6</v>
      </c>
      <c r="O5" s="17" t="s">
        <v>148</v>
      </c>
      <c r="P5" s="17" t="s">
        <v>149</v>
      </c>
      <c r="Q5" s="17" t="s">
        <v>226</v>
      </c>
      <c r="R5" s="32"/>
      <c r="S5" s="18" t="s">
        <v>339</v>
      </c>
      <c r="T5" s="18" t="s">
        <v>434</v>
      </c>
      <c r="U5" s="18" t="s">
        <v>536</v>
      </c>
      <c r="V5" s="308"/>
      <c r="W5" s="72"/>
      <c r="Y5" s="139" t="s">
        <v>207</v>
      </c>
    </row>
    <row r="6" spans="2:27" ht="12.75">
      <c r="B6" s="15"/>
      <c r="C6" s="7" t="s">
        <v>0</v>
      </c>
      <c r="D6" s="971">
        <v>7482</v>
      </c>
      <c r="E6" s="527">
        <v>15335</v>
      </c>
      <c r="F6" s="527">
        <v>23104</v>
      </c>
      <c r="G6" s="527">
        <v>31275</v>
      </c>
      <c r="H6" s="528"/>
      <c r="I6" s="527">
        <v>7540</v>
      </c>
      <c r="J6" s="527">
        <v>15470</v>
      </c>
      <c r="K6" s="527">
        <v>23207</v>
      </c>
      <c r="L6" s="972">
        <v>31290</v>
      </c>
      <c r="M6" s="527"/>
      <c r="N6" s="527">
        <v>7475</v>
      </c>
      <c r="O6" s="527">
        <v>15337</v>
      </c>
      <c r="P6" s="527">
        <v>23004</v>
      </c>
      <c r="Q6" s="527">
        <v>31013</v>
      </c>
      <c r="R6" s="527"/>
      <c r="S6" s="527">
        <v>7298</v>
      </c>
      <c r="T6" s="527">
        <v>14838</v>
      </c>
      <c r="U6" s="527">
        <v>22399</v>
      </c>
      <c r="V6" s="304"/>
      <c r="W6" s="72"/>
      <c r="Y6" s="139" t="s">
        <v>223</v>
      </c>
      <c r="Z6" s="5"/>
      <c r="AA6" s="956"/>
    </row>
    <row r="7" spans="2:27" ht="12.75">
      <c r="B7" s="15"/>
      <c r="C7" s="8" t="s">
        <v>60</v>
      </c>
      <c r="D7" s="973">
        <v>111</v>
      </c>
      <c r="E7" s="124">
        <v>311</v>
      </c>
      <c r="F7" s="124">
        <v>396</v>
      </c>
      <c r="G7" s="124">
        <v>606</v>
      </c>
      <c r="H7" s="129"/>
      <c r="I7" s="124">
        <v>73</v>
      </c>
      <c r="J7" s="124">
        <v>165</v>
      </c>
      <c r="K7" s="124">
        <v>251</v>
      </c>
      <c r="L7" s="303">
        <v>413</v>
      </c>
      <c r="M7" s="124"/>
      <c r="N7" s="124">
        <v>73</v>
      </c>
      <c r="O7" s="124">
        <v>164</v>
      </c>
      <c r="P7" s="124">
        <v>246</v>
      </c>
      <c r="Q7" s="124">
        <v>406</v>
      </c>
      <c r="R7" s="124"/>
      <c r="S7" s="124">
        <v>94</v>
      </c>
      <c r="T7" s="124">
        <v>158</v>
      </c>
      <c r="U7" s="124">
        <v>228</v>
      </c>
      <c r="V7" s="303"/>
      <c r="W7" s="455"/>
      <c r="Y7" s="139" t="s">
        <v>310</v>
      </c>
      <c r="Z7" s="5"/>
      <c r="AA7" s="956"/>
    </row>
    <row r="8" spans="2:27" ht="12.75">
      <c r="B8" s="15"/>
      <c r="C8" s="7" t="s">
        <v>61</v>
      </c>
      <c r="D8" s="974">
        <v>7593</v>
      </c>
      <c r="E8" s="125">
        <v>15646</v>
      </c>
      <c r="F8" s="125">
        <v>23500</v>
      </c>
      <c r="G8" s="125">
        <v>31881</v>
      </c>
      <c r="H8" s="129"/>
      <c r="I8" s="125">
        <v>7613</v>
      </c>
      <c r="J8" s="125">
        <v>15635</v>
      </c>
      <c r="K8" s="125">
        <v>23458</v>
      </c>
      <c r="L8" s="304">
        <v>31703</v>
      </c>
      <c r="M8" s="125"/>
      <c r="N8" s="125">
        <v>7548</v>
      </c>
      <c r="O8" s="125">
        <v>15501</v>
      </c>
      <c r="P8" s="125">
        <v>23250</v>
      </c>
      <c r="Q8" s="125">
        <v>31419</v>
      </c>
      <c r="R8" s="125"/>
      <c r="S8" s="125">
        <v>7392</v>
      </c>
      <c r="T8" s="125">
        <v>14996</v>
      </c>
      <c r="U8" s="125">
        <v>22627</v>
      </c>
      <c r="V8" s="304"/>
      <c r="W8" s="455"/>
      <c r="Y8" s="139" t="s">
        <v>311</v>
      </c>
      <c r="Z8" s="5"/>
      <c r="AA8" s="956"/>
    </row>
    <row r="9" spans="2:27" ht="12.75">
      <c r="B9" s="15"/>
      <c r="C9" s="9" t="s">
        <v>62</v>
      </c>
      <c r="D9" s="973">
        <v>-3090</v>
      </c>
      <c r="E9" s="124">
        <v>-6769</v>
      </c>
      <c r="F9" s="124">
        <v>-10258</v>
      </c>
      <c r="G9" s="124">
        <v>-14191</v>
      </c>
      <c r="H9" s="129"/>
      <c r="I9" s="124">
        <v>-3239</v>
      </c>
      <c r="J9" s="124">
        <v>-6886</v>
      </c>
      <c r="K9" s="124">
        <v>-10336</v>
      </c>
      <c r="L9" s="303">
        <v>-14545</v>
      </c>
      <c r="M9" s="124"/>
      <c r="N9" s="124">
        <v>-3165</v>
      </c>
      <c r="O9" s="124">
        <v>-6739</v>
      </c>
      <c r="P9" s="124">
        <v>-10117</v>
      </c>
      <c r="Q9" s="124">
        <v>-14255</v>
      </c>
      <c r="R9" s="124"/>
      <c r="S9" s="124">
        <v>-3149</v>
      </c>
      <c r="T9" s="124">
        <v>-6610</v>
      </c>
      <c r="U9" s="124">
        <v>-10034</v>
      </c>
      <c r="V9" s="303"/>
      <c r="W9" s="455"/>
      <c r="Y9" s="139" t="s">
        <v>12</v>
      </c>
      <c r="Z9" s="5"/>
      <c r="AA9" s="956"/>
    </row>
    <row r="10" spans="2:27" ht="12.75">
      <c r="B10" s="15"/>
      <c r="C10" s="9" t="s">
        <v>538</v>
      </c>
      <c r="D10" s="973">
        <v>-1018</v>
      </c>
      <c r="E10" s="124">
        <v>-1992</v>
      </c>
      <c r="F10" s="124">
        <v>-2855</v>
      </c>
      <c r="G10" s="124">
        <v>-3801</v>
      </c>
      <c r="H10" s="129"/>
      <c r="I10" s="124">
        <v>-1013</v>
      </c>
      <c r="J10" s="124">
        <v>-1925</v>
      </c>
      <c r="K10" s="124">
        <v>-2826</v>
      </c>
      <c r="L10" s="303">
        <v>-3884</v>
      </c>
      <c r="M10" s="124"/>
      <c r="N10" s="124">
        <v>-997</v>
      </c>
      <c r="O10" s="124">
        <v>-1893</v>
      </c>
      <c r="P10" s="124">
        <v>-2779</v>
      </c>
      <c r="Q10" s="124">
        <v>-3822</v>
      </c>
      <c r="R10" s="124"/>
      <c r="S10" s="124">
        <v>-991</v>
      </c>
      <c r="T10" s="124">
        <v>-2274</v>
      </c>
      <c r="U10" s="124">
        <v>-3169</v>
      </c>
      <c r="V10" s="303"/>
      <c r="W10" s="455"/>
      <c r="Y10" s="139" t="s">
        <v>220</v>
      </c>
      <c r="Z10" s="5"/>
      <c r="AA10" s="956"/>
    </row>
    <row r="11" spans="2:27" ht="12.75">
      <c r="B11" s="15"/>
      <c r="C11" s="9" t="s">
        <v>64</v>
      </c>
      <c r="D11" s="973">
        <v>-314</v>
      </c>
      <c r="E11" s="124">
        <v>-666</v>
      </c>
      <c r="F11" s="124">
        <v>-1002</v>
      </c>
      <c r="G11" s="124">
        <v>-1543</v>
      </c>
      <c r="H11" s="129"/>
      <c r="I11" s="124">
        <v>-377</v>
      </c>
      <c r="J11" s="124">
        <v>-832</v>
      </c>
      <c r="K11" s="124">
        <v>-1331</v>
      </c>
      <c r="L11" s="303">
        <v>-2245</v>
      </c>
      <c r="M11" s="124"/>
      <c r="N11" s="124">
        <v>-373</v>
      </c>
      <c r="O11" s="124">
        <v>-824</v>
      </c>
      <c r="P11" s="124">
        <v>-1320</v>
      </c>
      <c r="Q11" s="124">
        <v>-2232</v>
      </c>
      <c r="R11" s="124"/>
      <c r="S11" s="124">
        <v>-449</v>
      </c>
      <c r="T11" s="124">
        <v>-865</v>
      </c>
      <c r="U11" s="124">
        <v>-1260</v>
      </c>
      <c r="V11" s="303"/>
      <c r="W11" s="455"/>
      <c r="Y11" s="139" t="s">
        <v>221</v>
      </c>
      <c r="Z11" s="5"/>
      <c r="AA11" s="956"/>
    </row>
    <row r="12" spans="2:27" ht="12.75">
      <c r="B12" s="15"/>
      <c r="C12" s="9" t="s">
        <v>65</v>
      </c>
      <c r="D12" s="973">
        <v>124</v>
      </c>
      <c r="E12" s="124">
        <v>299</v>
      </c>
      <c r="F12" s="124">
        <v>401</v>
      </c>
      <c r="G12" s="124">
        <v>504</v>
      </c>
      <c r="H12" s="129"/>
      <c r="I12" s="124">
        <v>170</v>
      </c>
      <c r="J12" s="124">
        <v>302</v>
      </c>
      <c r="K12" s="124">
        <v>468</v>
      </c>
      <c r="L12" s="303">
        <v>588</v>
      </c>
      <c r="M12" s="124"/>
      <c r="N12" s="124">
        <v>165</v>
      </c>
      <c r="O12" s="124">
        <v>290</v>
      </c>
      <c r="P12" s="124">
        <v>450</v>
      </c>
      <c r="Q12" s="124">
        <v>558</v>
      </c>
      <c r="R12" s="124"/>
      <c r="S12" s="124">
        <v>163</v>
      </c>
      <c r="T12" s="124">
        <v>288</v>
      </c>
      <c r="U12" s="124">
        <v>458</v>
      </c>
      <c r="V12" s="303"/>
      <c r="W12" s="455"/>
      <c r="Y12" s="139" t="s">
        <v>222</v>
      </c>
      <c r="Z12" s="5"/>
      <c r="AA12" s="956"/>
    </row>
    <row r="13" spans="2:27" ht="12.75">
      <c r="B13" s="15"/>
      <c r="C13" s="7" t="s">
        <v>66</v>
      </c>
      <c r="D13" s="975">
        <v>3295</v>
      </c>
      <c r="E13" s="126">
        <v>6518</v>
      </c>
      <c r="F13" s="126">
        <v>9786</v>
      </c>
      <c r="G13" s="126">
        <v>12850</v>
      </c>
      <c r="H13" s="129"/>
      <c r="I13" s="126">
        <v>3154</v>
      </c>
      <c r="J13" s="126">
        <v>6294</v>
      </c>
      <c r="K13" s="126">
        <v>9433</v>
      </c>
      <c r="L13" s="305">
        <v>11617</v>
      </c>
      <c r="M13" s="126"/>
      <c r="N13" s="126">
        <v>3178</v>
      </c>
      <c r="O13" s="126">
        <v>6335</v>
      </c>
      <c r="P13" s="126">
        <v>9484</v>
      </c>
      <c r="Q13" s="126">
        <v>11668</v>
      </c>
      <c r="R13" s="126"/>
      <c r="S13" s="126">
        <v>2966</v>
      </c>
      <c r="T13" s="126">
        <v>5535</v>
      </c>
      <c r="U13" s="126">
        <v>8622</v>
      </c>
      <c r="V13" s="305"/>
      <c r="W13" s="455"/>
      <c r="Y13" s="139" t="s">
        <v>8</v>
      </c>
      <c r="Z13" s="5"/>
      <c r="AA13" s="956"/>
    </row>
    <row r="14" spans="2:26" ht="12.75">
      <c r="B14" s="15"/>
      <c r="C14" s="10" t="s">
        <v>67</v>
      </c>
      <c r="D14" s="976">
        <v>0.44039026998128844</v>
      </c>
      <c r="E14" s="127">
        <v>0.42504075643951744</v>
      </c>
      <c r="F14" s="127">
        <v>0.4235630193905817</v>
      </c>
      <c r="G14" s="127">
        <v>0.4108713029576339</v>
      </c>
      <c r="H14" s="129"/>
      <c r="I14" s="127">
        <v>0.41830238726790453</v>
      </c>
      <c r="J14" s="127">
        <v>0.4068519715578539</v>
      </c>
      <c r="K14" s="127">
        <v>0.40647218511655964</v>
      </c>
      <c r="L14" s="306">
        <v>0.37126877596676255</v>
      </c>
      <c r="M14" s="127"/>
      <c r="N14" s="127">
        <v>0.4251505016722408</v>
      </c>
      <c r="O14" s="127">
        <f>+O13/O6</f>
        <v>0.41305340027384757</v>
      </c>
      <c r="P14" s="127">
        <v>0.41227612589114937</v>
      </c>
      <c r="Q14" s="127">
        <v>0.3762293231870506</v>
      </c>
      <c r="R14" s="127"/>
      <c r="S14" s="127">
        <v>0.4064127158125514</v>
      </c>
      <c r="T14" s="127">
        <v>0.373</v>
      </c>
      <c r="U14" s="127">
        <f>+U13/$U$6</f>
        <v>0.3849278985669003</v>
      </c>
      <c r="V14" s="306"/>
      <c r="W14" s="455"/>
      <c r="Y14" s="139" t="s">
        <v>534</v>
      </c>
      <c r="Z14" s="5"/>
    </row>
    <row r="15" spans="2:27" ht="12.75">
      <c r="B15" s="15"/>
      <c r="C15" s="11" t="s">
        <v>68</v>
      </c>
      <c r="D15" s="973">
        <v>-1428</v>
      </c>
      <c r="E15" s="124">
        <v>-2843</v>
      </c>
      <c r="F15" s="124">
        <v>-4278</v>
      </c>
      <c r="G15" s="124">
        <v>-5487</v>
      </c>
      <c r="H15" s="131"/>
      <c r="I15" s="124">
        <v>-1400</v>
      </c>
      <c r="J15" s="124">
        <v>-2853</v>
      </c>
      <c r="K15" s="124">
        <v>-4301</v>
      </c>
      <c r="L15" s="303">
        <v>-5811</v>
      </c>
      <c r="M15" s="124"/>
      <c r="N15" s="124">
        <v>-1373</v>
      </c>
      <c r="O15" s="124">
        <v>-2793</v>
      </c>
      <c r="P15" s="124">
        <v>-4209</v>
      </c>
      <c r="Q15" s="124">
        <v>-5674</v>
      </c>
      <c r="R15" s="124"/>
      <c r="S15" s="124">
        <v>-1463</v>
      </c>
      <c r="T15" s="124">
        <v>-2952</v>
      </c>
      <c r="U15" s="124">
        <v>-4437</v>
      </c>
      <c r="V15" s="303"/>
      <c r="W15" s="455"/>
      <c r="Y15" s="139" t="s">
        <v>535</v>
      </c>
      <c r="Z15" s="5"/>
      <c r="AA15" s="956"/>
    </row>
    <row r="16" spans="2:26" ht="12.75">
      <c r="B16" s="15"/>
      <c r="C16" s="9" t="s">
        <v>217</v>
      </c>
      <c r="D16" s="973">
        <v>-1</v>
      </c>
      <c r="E16" s="124">
        <v>-26</v>
      </c>
      <c r="F16" s="124">
        <v>-1</v>
      </c>
      <c r="G16" s="124">
        <v>-21</v>
      </c>
      <c r="H16" s="129"/>
      <c r="I16" s="128">
        <v>0</v>
      </c>
      <c r="J16" s="128">
        <v>0</v>
      </c>
      <c r="K16" s="128">
        <v>0</v>
      </c>
      <c r="L16" s="303">
        <v>-47</v>
      </c>
      <c r="M16" s="124"/>
      <c r="N16" s="128">
        <v>0</v>
      </c>
      <c r="O16" s="128">
        <v>0</v>
      </c>
      <c r="P16" s="128">
        <v>0</v>
      </c>
      <c r="Q16" s="124">
        <v>-44</v>
      </c>
      <c r="R16" s="124"/>
      <c r="S16" s="128">
        <v>0</v>
      </c>
      <c r="T16" s="124">
        <v>-1</v>
      </c>
      <c r="U16" s="124">
        <v>-6</v>
      </c>
      <c r="V16" s="307"/>
      <c r="W16" s="455"/>
      <c r="Y16" s="139" t="s">
        <v>545</v>
      </c>
      <c r="Z16" s="5"/>
    </row>
    <row r="17" spans="2:27" ht="12.75">
      <c r="B17" s="15"/>
      <c r="C17" s="8" t="s">
        <v>218</v>
      </c>
      <c r="D17" s="973">
        <v>118</v>
      </c>
      <c r="E17" s="124">
        <v>152</v>
      </c>
      <c r="F17" s="124">
        <v>144</v>
      </c>
      <c r="G17" s="124">
        <v>95</v>
      </c>
      <c r="H17" s="129"/>
      <c r="I17" s="124">
        <v>9</v>
      </c>
      <c r="J17" s="124">
        <v>8</v>
      </c>
      <c r="K17" s="124">
        <v>6</v>
      </c>
      <c r="L17" s="303">
        <v>5</v>
      </c>
      <c r="M17" s="124"/>
      <c r="N17" s="124">
        <v>12</v>
      </c>
      <c r="O17" s="124">
        <v>12</v>
      </c>
      <c r="P17" s="124">
        <v>12</v>
      </c>
      <c r="Q17" s="124">
        <v>5</v>
      </c>
      <c r="R17" s="124"/>
      <c r="S17" s="124">
        <v>25</v>
      </c>
      <c r="T17" s="124">
        <v>26</v>
      </c>
      <c r="U17" s="124">
        <v>25</v>
      </c>
      <c r="V17" s="303"/>
      <c r="W17" s="455"/>
      <c r="Y17" s="139" t="s">
        <v>109</v>
      </c>
      <c r="Z17" s="5"/>
      <c r="AA17" s="956"/>
    </row>
    <row r="18" spans="2:27" ht="12.75">
      <c r="B18" s="15"/>
      <c r="C18" s="7" t="s">
        <v>47</v>
      </c>
      <c r="D18" s="974">
        <v>1984</v>
      </c>
      <c r="E18" s="125">
        <v>3801</v>
      </c>
      <c r="F18" s="125">
        <v>5621</v>
      </c>
      <c r="G18" s="125">
        <v>7437</v>
      </c>
      <c r="H18" s="129"/>
      <c r="I18" s="125">
        <v>1763</v>
      </c>
      <c r="J18" s="125">
        <v>3449</v>
      </c>
      <c r="K18" s="125">
        <v>5138</v>
      </c>
      <c r="L18" s="304">
        <v>5764</v>
      </c>
      <c r="M18" s="125"/>
      <c r="N18" s="125">
        <v>1817</v>
      </c>
      <c r="O18" s="125">
        <v>3554</v>
      </c>
      <c r="P18" s="125">
        <v>5287</v>
      </c>
      <c r="Q18" s="125">
        <v>5955</v>
      </c>
      <c r="R18" s="125"/>
      <c r="S18" s="125">
        <v>1528</v>
      </c>
      <c r="T18" s="125">
        <v>2608</v>
      </c>
      <c r="U18" s="125">
        <v>4204</v>
      </c>
      <c r="V18" s="304"/>
      <c r="W18" s="455"/>
      <c r="Y18" s="139" t="s">
        <v>157</v>
      </c>
      <c r="Z18" s="5"/>
      <c r="AA18" s="956"/>
    </row>
    <row r="19" spans="2:27" ht="12.75">
      <c r="B19" s="15"/>
      <c r="C19" s="10" t="s">
        <v>69</v>
      </c>
      <c r="D19" s="976">
        <v>0.2651697407110398</v>
      </c>
      <c r="E19" s="127">
        <v>0.24786436256928596</v>
      </c>
      <c r="F19" s="127">
        <v>0.2432912049861496</v>
      </c>
      <c r="G19" s="127">
        <v>0.23779376498800958</v>
      </c>
      <c r="H19" s="129"/>
      <c r="I19" s="127">
        <v>0.23381962864721487</v>
      </c>
      <c r="J19" s="127">
        <v>0.22294764059469943</v>
      </c>
      <c r="K19" s="127">
        <v>0.22139871590468393</v>
      </c>
      <c r="L19" s="306">
        <v>0.1842122083732822</v>
      </c>
      <c r="M19" s="127"/>
      <c r="N19" s="127">
        <v>0.24307692307692308</v>
      </c>
      <c r="O19" s="127">
        <f>+O18/O6</f>
        <v>0.23172719567060052</v>
      </c>
      <c r="P19" s="127">
        <v>0.22982959485306903</v>
      </c>
      <c r="Q19" s="127">
        <v>0.19201625124947602</v>
      </c>
      <c r="R19" s="127"/>
      <c r="S19" s="127">
        <v>0.20937243080295972</v>
      </c>
      <c r="T19" s="127">
        <v>0.176</v>
      </c>
      <c r="U19" s="127">
        <f>+U18/$U$6</f>
        <v>0.1876869503102817</v>
      </c>
      <c r="V19" s="306"/>
      <c r="W19" s="455"/>
      <c r="Y19" s="1469" t="s">
        <v>382</v>
      </c>
      <c r="Z19" s="5"/>
      <c r="AA19" s="956"/>
    </row>
    <row r="20" spans="2:27" ht="12.75">
      <c r="B20" s="15"/>
      <c r="C20" s="9" t="s">
        <v>70</v>
      </c>
      <c r="D20" s="973">
        <v>12</v>
      </c>
      <c r="E20" s="124">
        <v>25</v>
      </c>
      <c r="F20" s="124">
        <v>33</v>
      </c>
      <c r="G20" s="124">
        <v>51</v>
      </c>
      <c r="H20" s="129"/>
      <c r="I20" s="124">
        <v>29</v>
      </c>
      <c r="J20" s="124">
        <v>58</v>
      </c>
      <c r="K20" s="124">
        <v>75</v>
      </c>
      <c r="L20" s="303">
        <v>86</v>
      </c>
      <c r="M20" s="124"/>
      <c r="N20" s="124">
        <v>29</v>
      </c>
      <c r="O20" s="124">
        <v>58</v>
      </c>
      <c r="P20" s="124">
        <v>75</v>
      </c>
      <c r="Q20" s="124">
        <v>87</v>
      </c>
      <c r="R20" s="124"/>
      <c r="S20" s="124">
        <v>19</v>
      </c>
      <c r="T20" s="124">
        <v>37</v>
      </c>
      <c r="U20" s="124">
        <v>53</v>
      </c>
      <c r="V20" s="303"/>
      <c r="W20" s="455"/>
      <c r="Y20" s="162" t="s">
        <v>312</v>
      </c>
      <c r="AA20" s="956"/>
    </row>
    <row r="21" spans="2:27" ht="12.75">
      <c r="B21" s="15"/>
      <c r="C21" s="9" t="s">
        <v>71</v>
      </c>
      <c r="D21" s="973">
        <v>-579</v>
      </c>
      <c r="E21" s="124">
        <v>-1094</v>
      </c>
      <c r="F21" s="124">
        <v>-1493</v>
      </c>
      <c r="G21" s="124">
        <v>-1973</v>
      </c>
      <c r="H21" s="129"/>
      <c r="I21" s="124">
        <v>-456</v>
      </c>
      <c r="J21" s="124">
        <v>-983</v>
      </c>
      <c r="K21" s="124">
        <v>-1447</v>
      </c>
      <c r="L21" s="303">
        <v>-1749</v>
      </c>
      <c r="M21" s="124"/>
      <c r="N21" s="124">
        <v>-450</v>
      </c>
      <c r="O21" s="124">
        <v>-969</v>
      </c>
      <c r="P21" s="124">
        <v>-1425</v>
      </c>
      <c r="Q21" s="124">
        <v>-1718</v>
      </c>
      <c r="R21" s="124"/>
      <c r="S21" s="124">
        <v>-598</v>
      </c>
      <c r="T21" s="124">
        <v>-1216</v>
      </c>
      <c r="U21" s="124">
        <v>-1963</v>
      </c>
      <c r="V21" s="303"/>
      <c r="W21" s="455"/>
      <c r="AA21" s="956"/>
    </row>
    <row r="22" spans="2:27" ht="12.75">
      <c r="B22" s="15"/>
      <c r="C22" s="7" t="s">
        <v>72</v>
      </c>
      <c r="D22" s="974">
        <v>1417</v>
      </c>
      <c r="E22" s="125">
        <v>2732</v>
      </c>
      <c r="F22" s="125">
        <v>4161</v>
      </c>
      <c r="G22" s="125">
        <v>5515</v>
      </c>
      <c r="H22" s="129"/>
      <c r="I22" s="125">
        <v>1336</v>
      </c>
      <c r="J22" s="125">
        <v>2524</v>
      </c>
      <c r="K22" s="125">
        <v>3766</v>
      </c>
      <c r="L22" s="304">
        <v>4101</v>
      </c>
      <c r="M22" s="125"/>
      <c r="N22" s="125">
        <v>1396</v>
      </c>
      <c r="O22" s="125">
        <v>2643</v>
      </c>
      <c r="P22" s="125">
        <v>3937</v>
      </c>
      <c r="Q22" s="125">
        <v>4324</v>
      </c>
      <c r="R22" s="125"/>
      <c r="S22" s="125">
        <v>949</v>
      </c>
      <c r="T22" s="125">
        <v>1429</v>
      </c>
      <c r="U22" s="125">
        <v>2294</v>
      </c>
      <c r="V22" s="304"/>
      <c r="W22" s="455"/>
      <c r="AA22" s="956"/>
    </row>
    <row r="23" spans="2:27" ht="12.75">
      <c r="B23" s="15"/>
      <c r="C23" s="9" t="s">
        <v>79</v>
      </c>
      <c r="D23" s="976">
        <v>0.18938786420743117</v>
      </c>
      <c r="E23" s="127">
        <v>0.17815454841865014</v>
      </c>
      <c r="F23" s="127">
        <v>0.18009868421052633</v>
      </c>
      <c r="G23" s="127">
        <v>0.17633892885691446</v>
      </c>
      <c r="H23" s="129"/>
      <c r="I23" s="127">
        <v>0.17718832891246683</v>
      </c>
      <c r="J23" s="127">
        <v>0.16315449256625728</v>
      </c>
      <c r="K23" s="127">
        <v>0.16227862282931874</v>
      </c>
      <c r="L23" s="306">
        <v>0.13106423777564719</v>
      </c>
      <c r="M23" s="127"/>
      <c r="N23" s="127">
        <v>0.18675585284280938</v>
      </c>
      <c r="O23" s="127">
        <f>+O22/O6</f>
        <v>0.17232835626263285</v>
      </c>
      <c r="P23" s="127">
        <v>0.17114414884367937</v>
      </c>
      <c r="Q23" s="127">
        <f>+Q22/Q6</f>
        <v>0.13942540225066907</v>
      </c>
      <c r="R23" s="127"/>
      <c r="S23" s="127">
        <f>+S22/S6</f>
        <v>0.13003562619895861</v>
      </c>
      <c r="T23" s="127">
        <f>+T22/T6</f>
        <v>0.09630677988947298</v>
      </c>
      <c r="U23" s="127">
        <f>+U22/U6</f>
        <v>0.10241528639671414</v>
      </c>
      <c r="V23" s="306"/>
      <c r="W23" s="455"/>
      <c r="AA23" s="956"/>
    </row>
    <row r="24" spans="2:27" ht="12.75">
      <c r="B24" s="15"/>
      <c r="C24" s="9" t="s">
        <v>73</v>
      </c>
      <c r="D24" s="973">
        <v>-656</v>
      </c>
      <c r="E24" s="124">
        <v>-1305</v>
      </c>
      <c r="F24" s="124">
        <v>-1856</v>
      </c>
      <c r="G24" s="124">
        <v>-2519</v>
      </c>
      <c r="H24" s="129"/>
      <c r="I24" s="124">
        <v>-561</v>
      </c>
      <c r="J24" s="124">
        <v>-1018</v>
      </c>
      <c r="K24" s="124">
        <v>-1554</v>
      </c>
      <c r="L24" s="303">
        <v>-1682</v>
      </c>
      <c r="M24" s="124"/>
      <c r="N24" s="124">
        <v>-561</v>
      </c>
      <c r="O24" s="124">
        <v>-1018</v>
      </c>
      <c r="P24" s="124">
        <v>-1555</v>
      </c>
      <c r="Q24" s="124">
        <v>-1683</v>
      </c>
      <c r="R24" s="124"/>
      <c r="S24" s="124">
        <v>-392</v>
      </c>
      <c r="T24" s="124">
        <v>-173</v>
      </c>
      <c r="U24" s="124">
        <v>-535</v>
      </c>
      <c r="V24" s="303"/>
      <c r="W24" s="455"/>
      <c r="AA24" s="956"/>
    </row>
    <row r="25" spans="2:27" ht="12.75">
      <c r="B25" s="15"/>
      <c r="C25" s="9" t="s">
        <v>80</v>
      </c>
      <c r="D25" s="976">
        <v>0.4629498941425547</v>
      </c>
      <c r="E25" s="127">
        <v>0.47767203513909223</v>
      </c>
      <c r="F25" s="127">
        <v>0.44604662340783463</v>
      </c>
      <c r="G25" s="127">
        <v>0.45675430643699005</v>
      </c>
      <c r="H25" s="129"/>
      <c r="I25" s="127">
        <v>0.4199101796407186</v>
      </c>
      <c r="J25" s="127">
        <v>0.40332805071315375</v>
      </c>
      <c r="K25" s="127">
        <v>0.41263940520446096</v>
      </c>
      <c r="L25" s="306">
        <v>0.410143867349427</v>
      </c>
      <c r="M25" s="127"/>
      <c r="N25" s="127">
        <f>-N24/N22</f>
        <v>0.40186246418338106</v>
      </c>
      <c r="O25" s="127">
        <f>-O24/O22</f>
        <v>0.3851683692773364</v>
      </c>
      <c r="P25" s="127">
        <f>-P24/P22</f>
        <v>0.39497078994157986</v>
      </c>
      <c r="Q25" s="127">
        <f>-Q24/Q22</f>
        <v>0.38922294172062905</v>
      </c>
      <c r="R25" s="127"/>
      <c r="S25" s="127">
        <f>-S24/S22</f>
        <v>0.4130663856691254</v>
      </c>
      <c r="T25" s="221" t="s">
        <v>141</v>
      </c>
      <c r="U25" s="127">
        <f>-U24/U22</f>
        <v>0.23321708805579774</v>
      </c>
      <c r="V25" s="306"/>
      <c r="W25" s="455"/>
      <c r="AA25" s="956"/>
    </row>
    <row r="26" spans="2:27" ht="12.75">
      <c r="B26" s="15"/>
      <c r="C26" s="7" t="s">
        <v>74</v>
      </c>
      <c r="D26" s="974">
        <v>761</v>
      </c>
      <c r="E26" s="125">
        <v>1427</v>
      </c>
      <c r="F26" s="125">
        <v>2305</v>
      </c>
      <c r="G26" s="125">
        <v>2996</v>
      </c>
      <c r="H26" s="129"/>
      <c r="I26" s="125">
        <v>775</v>
      </c>
      <c r="J26" s="125">
        <v>1506</v>
      </c>
      <c r="K26" s="125">
        <v>2212</v>
      </c>
      <c r="L26" s="304">
        <v>2419</v>
      </c>
      <c r="M26" s="125"/>
      <c r="N26" s="125">
        <v>835</v>
      </c>
      <c r="O26" s="125">
        <v>1625</v>
      </c>
      <c r="P26" s="125">
        <v>2382</v>
      </c>
      <c r="Q26" s="125">
        <v>2641</v>
      </c>
      <c r="R26" s="125"/>
      <c r="S26" s="125">
        <v>557</v>
      </c>
      <c r="T26" s="125">
        <v>1256</v>
      </c>
      <c r="U26" s="125">
        <v>1759</v>
      </c>
      <c r="V26" s="304"/>
      <c r="W26" s="455"/>
      <c r="AA26" s="956"/>
    </row>
    <row r="27" spans="2:27" ht="12.75">
      <c r="B27" s="15"/>
      <c r="C27" s="12" t="s">
        <v>75</v>
      </c>
      <c r="D27" s="973">
        <v>11</v>
      </c>
      <c r="E27" s="124">
        <v>46</v>
      </c>
      <c r="F27" s="124">
        <v>46</v>
      </c>
      <c r="G27" s="124">
        <v>7</v>
      </c>
      <c r="H27" s="129"/>
      <c r="I27" s="128">
        <v>0</v>
      </c>
      <c r="J27" s="124">
        <v>-4</v>
      </c>
      <c r="K27" s="124">
        <v>-4</v>
      </c>
      <c r="L27" s="303">
        <v>36</v>
      </c>
      <c r="M27" s="124"/>
      <c r="N27" s="128">
        <v>-60</v>
      </c>
      <c r="O27" s="124">
        <v>-123</v>
      </c>
      <c r="P27" s="124">
        <v>-174</v>
      </c>
      <c r="Q27" s="124">
        <v>-186</v>
      </c>
      <c r="R27" s="124"/>
      <c r="S27" s="124">
        <v>-75</v>
      </c>
      <c r="T27" s="124">
        <v>-148</v>
      </c>
      <c r="U27" s="124">
        <v>-28</v>
      </c>
      <c r="V27" s="303"/>
      <c r="W27" s="455"/>
      <c r="AA27" s="956"/>
    </row>
    <row r="28" spans="2:27" ht="12.75">
      <c r="B28" s="15"/>
      <c r="C28" s="13" t="s">
        <v>76</v>
      </c>
      <c r="D28" s="974">
        <v>772</v>
      </c>
      <c r="E28" s="125">
        <v>1473</v>
      </c>
      <c r="F28" s="125">
        <v>2351</v>
      </c>
      <c r="G28" s="125">
        <v>3003</v>
      </c>
      <c r="H28" s="132"/>
      <c r="I28" s="125">
        <v>775</v>
      </c>
      <c r="J28" s="125">
        <v>1502</v>
      </c>
      <c r="K28" s="125">
        <v>2208</v>
      </c>
      <c r="L28" s="304">
        <v>2455</v>
      </c>
      <c r="M28" s="125"/>
      <c r="N28" s="125">
        <v>775</v>
      </c>
      <c r="O28" s="125">
        <v>1502</v>
      </c>
      <c r="P28" s="125">
        <v>2208</v>
      </c>
      <c r="Q28" s="125">
        <v>2455</v>
      </c>
      <c r="R28" s="125"/>
      <c r="S28" s="125">
        <v>482</v>
      </c>
      <c r="T28" s="125">
        <v>1108</v>
      </c>
      <c r="U28" s="125">
        <v>1731</v>
      </c>
      <c r="V28" s="304"/>
      <c r="W28" s="455"/>
      <c r="AA28" s="956"/>
    </row>
    <row r="29" spans="2:27" ht="12.75">
      <c r="B29" s="15"/>
      <c r="C29" s="12" t="s">
        <v>79</v>
      </c>
      <c r="D29" s="976">
        <v>0.10318096765570703</v>
      </c>
      <c r="E29" s="127">
        <v>0.09605477665471145</v>
      </c>
      <c r="F29" s="127">
        <v>0.10175727146814405</v>
      </c>
      <c r="G29" s="127">
        <v>0.09601918465227818</v>
      </c>
      <c r="H29" s="127"/>
      <c r="I29" s="127">
        <v>0.10278514588859416</v>
      </c>
      <c r="J29" s="127">
        <v>0.09709114414996768</v>
      </c>
      <c r="K29" s="127">
        <v>0.09514370664023786</v>
      </c>
      <c r="L29" s="306">
        <v>0.07845957174816236</v>
      </c>
      <c r="M29" s="127"/>
      <c r="N29" s="127">
        <v>0.10367892976588629</v>
      </c>
      <c r="O29" s="127">
        <v>0.09793310295364152</v>
      </c>
      <c r="P29" s="127">
        <v>0.09598330725091289</v>
      </c>
      <c r="Q29" s="127">
        <v>0.07916035211040531</v>
      </c>
      <c r="R29" s="127"/>
      <c r="S29" s="127">
        <v>0.06604549191559331</v>
      </c>
      <c r="T29" s="127">
        <v>0.07467313654131284</v>
      </c>
      <c r="U29" s="127">
        <f>+U28/$U$6</f>
        <v>0.07728023572480915</v>
      </c>
      <c r="V29" s="306"/>
      <c r="W29" s="455"/>
      <c r="AA29" s="956"/>
    </row>
    <row r="30" spans="2:27" ht="12.75">
      <c r="B30" s="15"/>
      <c r="C30" s="8" t="s">
        <v>77</v>
      </c>
      <c r="D30" s="973">
        <v>-28</v>
      </c>
      <c r="E30" s="124">
        <v>23</v>
      </c>
      <c r="F30" s="124">
        <v>25</v>
      </c>
      <c r="G30" s="124">
        <v>11</v>
      </c>
      <c r="H30" s="129"/>
      <c r="I30" s="128">
        <v>0</v>
      </c>
      <c r="J30" s="124">
        <v>-2</v>
      </c>
      <c r="K30" s="124">
        <v>12</v>
      </c>
      <c r="L30" s="303">
        <v>-7</v>
      </c>
      <c r="M30" s="124"/>
      <c r="N30" s="128">
        <v>0</v>
      </c>
      <c r="O30" s="124">
        <v>-2</v>
      </c>
      <c r="P30" s="124">
        <v>12</v>
      </c>
      <c r="Q30" s="124">
        <v>-7</v>
      </c>
      <c r="R30" s="124"/>
      <c r="S30" s="124">
        <v>-19</v>
      </c>
      <c r="T30" s="124">
        <v>32</v>
      </c>
      <c r="U30" s="124">
        <v>39</v>
      </c>
      <c r="V30" s="303"/>
      <c r="W30" s="455"/>
      <c r="AA30" s="956"/>
    </row>
    <row r="31" spans="2:27" ht="12.75">
      <c r="B31" s="15"/>
      <c r="C31" s="14" t="s">
        <v>78</v>
      </c>
      <c r="D31" s="974">
        <v>744</v>
      </c>
      <c r="E31" s="125">
        <v>1496</v>
      </c>
      <c r="F31" s="125">
        <v>2376</v>
      </c>
      <c r="G31" s="125">
        <v>3014</v>
      </c>
      <c r="H31" s="129"/>
      <c r="I31" s="125">
        <v>775</v>
      </c>
      <c r="J31" s="125">
        <v>1500</v>
      </c>
      <c r="K31" s="125">
        <v>2220</v>
      </c>
      <c r="L31" s="304">
        <v>2448</v>
      </c>
      <c r="M31" s="125"/>
      <c r="N31" s="125">
        <v>775</v>
      </c>
      <c r="O31" s="125">
        <v>1500</v>
      </c>
      <c r="P31" s="125">
        <v>2220</v>
      </c>
      <c r="Q31" s="125">
        <v>2448</v>
      </c>
      <c r="R31" s="125"/>
      <c r="S31" s="125">
        <v>501</v>
      </c>
      <c r="T31" s="125">
        <v>1140</v>
      </c>
      <c r="U31" s="125">
        <v>1770</v>
      </c>
      <c r="V31" s="304"/>
      <c r="W31" s="455"/>
      <c r="AA31" s="956"/>
    </row>
    <row r="32" spans="2:27" ht="12.75">
      <c r="B32" s="15"/>
      <c r="C32" s="12" t="s">
        <v>79</v>
      </c>
      <c r="D32" s="976">
        <v>0.09943865276663993</v>
      </c>
      <c r="E32" s="127">
        <v>0.09755461362895337</v>
      </c>
      <c r="F32" s="127">
        <v>0.1028393351800554</v>
      </c>
      <c r="G32" s="127">
        <v>0.0963709032773781</v>
      </c>
      <c r="H32" s="130"/>
      <c r="I32" s="127">
        <v>0.10278514588859416</v>
      </c>
      <c r="J32" s="127">
        <v>0.09696186166774402</v>
      </c>
      <c r="K32" s="127">
        <v>0.09566079200241306</v>
      </c>
      <c r="L32" s="306">
        <v>0.07823585810162992</v>
      </c>
      <c r="M32" s="127"/>
      <c r="N32" s="127">
        <v>0.10367892976588629</v>
      </c>
      <c r="O32" s="127">
        <v>0.09780269935450218</v>
      </c>
      <c r="P32" s="127">
        <v>0.09650495565988523</v>
      </c>
      <c r="Q32" s="127">
        <v>0.07893464031212717</v>
      </c>
      <c r="R32" s="127"/>
      <c r="S32" s="127">
        <v>0.06864894491641546</v>
      </c>
      <c r="T32" s="127">
        <v>0.07682976142337242</v>
      </c>
      <c r="U32" s="127">
        <f>+U31/$U$6</f>
        <v>0.07902138488325372</v>
      </c>
      <c r="V32" s="306"/>
      <c r="W32" s="455"/>
      <c r="AA32" s="956"/>
    </row>
    <row r="33" spans="2:27" ht="12.75" customHeight="1">
      <c r="B33" s="15"/>
      <c r="C33" s="12"/>
      <c r="D33" s="976"/>
      <c r="E33" s="127"/>
      <c r="F33" s="127"/>
      <c r="G33" s="127"/>
      <c r="H33" s="130"/>
      <c r="I33" s="127"/>
      <c r="J33" s="127"/>
      <c r="K33" s="127"/>
      <c r="L33" s="306"/>
      <c r="M33" s="127"/>
      <c r="N33" s="127"/>
      <c r="O33" s="127"/>
      <c r="P33" s="127"/>
      <c r="Q33" s="127"/>
      <c r="R33" s="127"/>
      <c r="S33" s="127"/>
      <c r="T33" s="127"/>
      <c r="U33" s="127"/>
      <c r="V33" s="306"/>
      <c r="AA33" s="956"/>
    </row>
    <row r="34" spans="2:27" ht="12.75" customHeight="1">
      <c r="B34" s="15"/>
      <c r="C34" s="310" t="s">
        <v>368</v>
      </c>
      <c r="D34" s="977">
        <v>0</v>
      </c>
      <c r="E34" s="205">
        <v>0</v>
      </c>
      <c r="F34" s="205">
        <v>0</v>
      </c>
      <c r="G34" s="205">
        <v>0</v>
      </c>
      <c r="H34" s="206"/>
      <c r="I34" s="205">
        <v>0</v>
      </c>
      <c r="J34" s="205">
        <v>0</v>
      </c>
      <c r="K34" s="205">
        <v>0</v>
      </c>
      <c r="L34" s="978">
        <v>32</v>
      </c>
      <c r="M34" s="205"/>
      <c r="N34" s="205">
        <f>+N35-N6</f>
        <v>0</v>
      </c>
      <c r="O34" s="205">
        <f>+O35-O6</f>
        <v>0</v>
      </c>
      <c r="P34" s="205">
        <f>+P35-P6</f>
        <v>0</v>
      </c>
      <c r="Q34" s="205">
        <f>+Q35-Q6</f>
        <v>32</v>
      </c>
      <c r="R34" s="205"/>
      <c r="S34" s="205">
        <v>0</v>
      </c>
      <c r="T34" s="205">
        <v>24</v>
      </c>
      <c r="U34" s="205">
        <f>+T34</f>
        <v>24</v>
      </c>
      <c r="V34" s="303"/>
      <c r="AA34" s="956"/>
    </row>
    <row r="35" spans="2:27" ht="12.75">
      <c r="B35" s="15"/>
      <c r="C35" s="7" t="s">
        <v>331</v>
      </c>
      <c r="D35" s="974">
        <v>7482</v>
      </c>
      <c r="E35" s="125">
        <v>15335</v>
      </c>
      <c r="F35" s="125">
        <v>23104</v>
      </c>
      <c r="G35" s="125">
        <v>31275</v>
      </c>
      <c r="H35" s="129"/>
      <c r="I35" s="125">
        <v>7540</v>
      </c>
      <c r="J35" s="125">
        <v>15470</v>
      </c>
      <c r="K35" s="125">
        <v>23207</v>
      </c>
      <c r="L35" s="304">
        <v>31322</v>
      </c>
      <c r="M35" s="125"/>
      <c r="N35" s="125">
        <f>'Key fin data by BU YTD'!N26</f>
        <v>7475</v>
      </c>
      <c r="O35" s="125">
        <f>'Key fin data by BU YTD'!O26</f>
        <v>15337</v>
      </c>
      <c r="P35" s="125">
        <f>'Key fin data by BU YTD'!P26</f>
        <v>23004</v>
      </c>
      <c r="Q35" s="125">
        <f>'Key fin data by BU YTD'!Q26</f>
        <v>31045</v>
      </c>
      <c r="R35" s="125">
        <f>'Key fin data by BU YTD'!R26</f>
        <v>0</v>
      </c>
      <c r="S35" s="125">
        <v>7298</v>
      </c>
      <c r="T35" s="125">
        <v>14862</v>
      </c>
      <c r="U35" s="125">
        <f>+U6+U34</f>
        <v>22423</v>
      </c>
      <c r="V35" s="304"/>
      <c r="AA35" s="956"/>
    </row>
    <row r="36" spans="2:27" ht="5.25" customHeight="1">
      <c r="B36" s="15"/>
      <c r="C36" s="10"/>
      <c r="D36" s="976"/>
      <c r="E36" s="127"/>
      <c r="F36" s="127"/>
      <c r="G36" s="127"/>
      <c r="H36" s="67"/>
      <c r="I36" s="67"/>
      <c r="J36" s="67"/>
      <c r="K36" s="67"/>
      <c r="L36" s="247"/>
      <c r="M36" s="67"/>
      <c r="N36" s="67"/>
      <c r="O36" s="67"/>
      <c r="P36" s="67"/>
      <c r="Q36" s="67"/>
      <c r="R36" s="67"/>
      <c r="S36" s="67"/>
      <c r="T36" s="67"/>
      <c r="U36" s="67"/>
      <c r="V36" s="247"/>
      <c r="AA36" s="956"/>
    </row>
    <row r="37" spans="2:27" ht="12.75" customHeight="1">
      <c r="B37" s="15"/>
      <c r="C37" s="310" t="s">
        <v>369</v>
      </c>
      <c r="D37" s="977">
        <v>41</v>
      </c>
      <c r="E37" s="205">
        <v>100</v>
      </c>
      <c r="F37" s="205">
        <v>119</v>
      </c>
      <c r="G37" s="205">
        <v>232</v>
      </c>
      <c r="H37" s="206"/>
      <c r="I37" s="205">
        <v>37</v>
      </c>
      <c r="J37" s="205">
        <v>138</v>
      </c>
      <c r="K37" s="205">
        <v>156</v>
      </c>
      <c r="L37" s="978">
        <v>796</v>
      </c>
      <c r="M37" s="205"/>
      <c r="N37" s="205">
        <f>+N38-N13</f>
        <v>0</v>
      </c>
      <c r="O37" s="205">
        <f>+O38-O13</f>
        <v>53</v>
      </c>
      <c r="P37" s="205">
        <f>+P38-P13</f>
        <v>53</v>
      </c>
      <c r="Q37" s="205">
        <f>+Q38-Q13</f>
        <v>619</v>
      </c>
      <c r="R37" s="205"/>
      <c r="S37" s="205">
        <v>12</v>
      </c>
      <c r="T37" s="205">
        <v>325</v>
      </c>
      <c r="U37" s="205">
        <v>335</v>
      </c>
      <c r="V37" s="303"/>
      <c r="AA37" s="956"/>
    </row>
    <row r="38" spans="2:27" ht="12.75">
      <c r="B38" s="15"/>
      <c r="C38" s="7" t="s">
        <v>318</v>
      </c>
      <c r="D38" s="974">
        <v>3336</v>
      </c>
      <c r="E38" s="125">
        <v>6618</v>
      </c>
      <c r="F38" s="125">
        <v>9905</v>
      </c>
      <c r="G38" s="125">
        <v>13082</v>
      </c>
      <c r="H38" s="129"/>
      <c r="I38" s="125">
        <v>3191</v>
      </c>
      <c r="J38" s="125">
        <v>6432</v>
      </c>
      <c r="K38" s="125">
        <v>9589</v>
      </c>
      <c r="L38" s="304">
        <v>12413</v>
      </c>
      <c r="M38" s="125"/>
      <c r="N38" s="125">
        <f>'Key fin data by BU YTD'!N54</f>
        <v>3178</v>
      </c>
      <c r="O38" s="125">
        <f>'Key fin data by BU YTD'!O54</f>
        <v>6388</v>
      </c>
      <c r="P38" s="125">
        <f>'Key fin data by BU YTD'!P54</f>
        <v>9537</v>
      </c>
      <c r="Q38" s="125">
        <f>'Key fin data by BU YTD'!Q54</f>
        <v>12287</v>
      </c>
      <c r="R38" s="125"/>
      <c r="S38" s="125">
        <v>2978</v>
      </c>
      <c r="T38" s="125">
        <v>5860</v>
      </c>
      <c r="U38" s="125">
        <f>+U37+U13</f>
        <v>8957</v>
      </c>
      <c r="V38" s="304"/>
      <c r="AA38" s="956"/>
    </row>
    <row r="39" spans="2:27" ht="12.75">
      <c r="B39" s="15"/>
      <c r="C39" s="10" t="s">
        <v>67</v>
      </c>
      <c r="D39" s="976">
        <v>0.4458700882117081</v>
      </c>
      <c r="E39" s="127">
        <v>0.43156178676230844</v>
      </c>
      <c r="F39" s="127">
        <v>0.4287136426592798</v>
      </c>
      <c r="G39" s="127">
        <v>0.4182893685051958</v>
      </c>
      <c r="H39" s="127"/>
      <c r="I39" s="127">
        <v>0.42320954907161806</v>
      </c>
      <c r="J39" s="127">
        <v>0.4157724628312864</v>
      </c>
      <c r="K39" s="127">
        <v>0.4131942948248373</v>
      </c>
      <c r="L39" s="306">
        <v>0.39630291807675116</v>
      </c>
      <c r="M39" s="127"/>
      <c r="N39" s="127">
        <f>+N38/N$35</f>
        <v>0.4251505016722408</v>
      </c>
      <c r="O39" s="127">
        <f>+O38/O$35</f>
        <v>0.41650909565104</v>
      </c>
      <c r="P39" s="127">
        <f>+P38/P$35</f>
        <v>0.41458007303077726</v>
      </c>
      <c r="Q39" s="127">
        <f>+Q38/Q$35</f>
        <v>0.39578031889193105</v>
      </c>
      <c r="R39" s="127"/>
      <c r="S39" s="127">
        <f>+S38/S$35</f>
        <v>0.4080570019183338</v>
      </c>
      <c r="T39" s="127">
        <f>+T38/T$35</f>
        <v>0.3942941730588077</v>
      </c>
      <c r="U39" s="127">
        <f>+U38/U$35</f>
        <v>0.3994559158007403</v>
      </c>
      <c r="V39" s="306"/>
      <c r="AA39" s="956"/>
    </row>
    <row r="40" spans="2:27" ht="5.25" customHeight="1">
      <c r="B40" s="15"/>
      <c r="C40" s="10"/>
      <c r="D40" s="976"/>
      <c r="E40" s="127"/>
      <c r="F40" s="127"/>
      <c r="G40" s="127"/>
      <c r="H40" s="67"/>
      <c r="I40" s="67"/>
      <c r="J40" s="67"/>
      <c r="K40" s="67"/>
      <c r="L40" s="247"/>
      <c r="M40" s="67"/>
      <c r="N40" s="67"/>
      <c r="O40" s="67"/>
      <c r="P40" s="67"/>
      <c r="Q40" s="67"/>
      <c r="R40" s="67"/>
      <c r="S40" s="67"/>
      <c r="T40" s="67"/>
      <c r="U40" s="67"/>
      <c r="V40" s="247"/>
      <c r="AA40" s="956"/>
    </row>
    <row r="41" spans="2:27" ht="12.75">
      <c r="B41" s="15"/>
      <c r="C41" s="310" t="s">
        <v>370</v>
      </c>
      <c r="D41" s="977">
        <v>-71</v>
      </c>
      <c r="E41" s="205">
        <v>-26</v>
      </c>
      <c r="F41" s="205">
        <v>2</v>
      </c>
      <c r="G41" s="205">
        <v>127</v>
      </c>
      <c r="H41" s="206"/>
      <c r="I41" s="205">
        <v>27</v>
      </c>
      <c r="J41" s="205">
        <v>126</v>
      </c>
      <c r="K41" s="205">
        <v>142</v>
      </c>
      <c r="L41" s="978">
        <v>787</v>
      </c>
      <c r="M41" s="205"/>
      <c r="N41" s="205">
        <f>+N42-N18</f>
        <v>-10</v>
      </c>
      <c r="O41" s="205">
        <f>+O42-O18</f>
        <v>42</v>
      </c>
      <c r="P41" s="205">
        <f>+P42-P18</f>
        <v>40</v>
      </c>
      <c r="Q41" s="205">
        <f>+Q42-Q18</f>
        <v>609</v>
      </c>
      <c r="R41" s="205">
        <f>+R42-R18</f>
        <v>0</v>
      </c>
      <c r="S41" s="205">
        <v>-13</v>
      </c>
      <c r="T41" s="205">
        <v>300</v>
      </c>
      <c r="U41" s="205">
        <v>310</v>
      </c>
      <c r="V41" s="303"/>
      <c r="AA41" s="956"/>
    </row>
    <row r="42" spans="2:27" ht="12.75">
      <c r="B42" s="15"/>
      <c r="C42" s="7" t="s">
        <v>319</v>
      </c>
      <c r="D42" s="974">
        <v>1913</v>
      </c>
      <c r="E42" s="125">
        <v>3775</v>
      </c>
      <c r="F42" s="125">
        <v>5623</v>
      </c>
      <c r="G42" s="125">
        <v>7564</v>
      </c>
      <c r="H42" s="129"/>
      <c r="I42" s="125">
        <v>1790</v>
      </c>
      <c r="J42" s="125">
        <v>3575</v>
      </c>
      <c r="K42" s="125">
        <v>5280</v>
      </c>
      <c r="L42" s="304">
        <v>6551</v>
      </c>
      <c r="M42" s="125"/>
      <c r="N42" s="125">
        <f>'Key fin data by BU YTD'!N95</f>
        <v>1807</v>
      </c>
      <c r="O42" s="125">
        <f>'Key fin data by BU YTD'!O95</f>
        <v>3596</v>
      </c>
      <c r="P42" s="125">
        <f>'Key fin data by BU YTD'!P95</f>
        <v>5327</v>
      </c>
      <c r="Q42" s="125">
        <f>'Key fin data by BU YTD'!Q95</f>
        <v>6564</v>
      </c>
      <c r="R42" s="125"/>
      <c r="S42" s="125">
        <v>1515</v>
      </c>
      <c r="T42" s="125">
        <v>2908</v>
      </c>
      <c r="U42" s="125">
        <f>+U41+U18</f>
        <v>4514</v>
      </c>
      <c r="V42" s="304"/>
      <c r="AA42" s="956"/>
    </row>
    <row r="43" spans="2:27" ht="12" customHeight="1">
      <c r="B43" s="15"/>
      <c r="C43" s="10" t="s">
        <v>69</v>
      </c>
      <c r="D43" s="979">
        <v>0.2556802993851911</v>
      </c>
      <c r="E43" s="980">
        <v>0.2461688946853603</v>
      </c>
      <c r="F43" s="980">
        <v>0.2433777700831025</v>
      </c>
      <c r="G43" s="980">
        <v>0.24185451638689048</v>
      </c>
      <c r="H43" s="980"/>
      <c r="I43" s="980">
        <v>0.23740053050397877</v>
      </c>
      <c r="J43" s="980">
        <v>0.23109243697478993</v>
      </c>
      <c r="K43" s="980">
        <v>0.22751755935709053</v>
      </c>
      <c r="L43" s="981">
        <v>0.20915011812783346</v>
      </c>
      <c r="M43" s="127"/>
      <c r="N43" s="127">
        <f>+N42/N35</f>
        <v>0.2417391304347826</v>
      </c>
      <c r="O43" s="127">
        <f>+O42/O35</f>
        <v>0.23446567125252657</v>
      </c>
      <c r="P43" s="127">
        <f>+P42/P35</f>
        <v>0.23156842288297688</v>
      </c>
      <c r="Q43" s="127">
        <f>+Q42/Q35</f>
        <v>0.21143501368980513</v>
      </c>
      <c r="R43" s="127"/>
      <c r="S43" s="127">
        <f>+S42/S35</f>
        <v>0.2075911208550288</v>
      </c>
      <c r="T43" s="127">
        <f>+T42/T35</f>
        <v>0.1956668012380568</v>
      </c>
      <c r="U43" s="127">
        <f>+U42/U35</f>
        <v>0.20131115372608482</v>
      </c>
      <c r="V43" s="306"/>
      <c r="AA43" s="956"/>
    </row>
    <row r="44" spans="2:27" ht="12.75" hidden="1">
      <c r="B44" s="15"/>
      <c r="C44" s="9"/>
      <c r="D44" s="67"/>
      <c r="E44" s="67"/>
      <c r="F44" s="67"/>
      <c r="G44" s="67"/>
      <c r="H44" s="67"/>
      <c r="I44" s="67"/>
      <c r="J44" s="67"/>
      <c r="K44" s="179"/>
      <c r="L44" s="179"/>
      <c r="M44" s="179"/>
      <c r="N44" s="67"/>
      <c r="O44" s="67"/>
      <c r="P44" s="179"/>
      <c r="Q44" s="179"/>
      <c r="R44" s="179"/>
      <c r="S44" s="179"/>
      <c r="T44" s="179"/>
      <c r="U44" s="179"/>
      <c r="V44" s="247"/>
      <c r="W44" s="455"/>
      <c r="AA44" s="956"/>
    </row>
    <row r="45" spans="2:23" ht="12.75">
      <c r="B45" s="15"/>
      <c r="C45" s="1407"/>
      <c r="D45" s="313"/>
      <c r="E45" s="313"/>
      <c r="F45" s="313"/>
      <c r="G45" s="313"/>
      <c r="H45" s="532"/>
      <c r="I45" s="313"/>
      <c r="J45" s="313"/>
      <c r="K45" s="533"/>
      <c r="L45" s="533"/>
      <c r="M45" s="533"/>
      <c r="N45" s="313"/>
      <c r="O45" s="313"/>
      <c r="P45" s="533"/>
      <c r="Q45" s="533"/>
      <c r="R45" s="533"/>
      <c r="S45" s="1379"/>
      <c r="T45" s="533"/>
      <c r="U45" s="533"/>
      <c r="V45" s="247"/>
      <c r="W45" s="455"/>
    </row>
    <row r="46" spans="2:23" ht="12.75">
      <c r="B46" s="15"/>
      <c r="C46" s="1408" t="s">
        <v>531</v>
      </c>
      <c r="D46" s="963"/>
      <c r="E46" s="963"/>
      <c r="F46" s="963"/>
      <c r="G46" s="963"/>
      <c r="H46" s="964"/>
      <c r="I46" s="963"/>
      <c r="J46" s="963"/>
      <c r="K46" s="965"/>
      <c r="L46" s="965"/>
      <c r="M46" s="965"/>
      <c r="N46" s="963"/>
      <c r="O46" s="963"/>
      <c r="P46" s="965"/>
      <c r="Q46" s="965"/>
      <c r="R46" s="965"/>
      <c r="S46" s="965"/>
      <c r="T46" s="965"/>
      <c r="U46" s="965"/>
      <c r="V46" s="247"/>
      <c r="W46" s="455"/>
    </row>
    <row r="47" spans="2:23" ht="14.25" customHeight="1">
      <c r="B47" s="15"/>
      <c r="C47" s="1409" t="s">
        <v>532</v>
      </c>
      <c r="D47" s="966"/>
      <c r="E47" s="966"/>
      <c r="F47" s="966"/>
      <c r="G47" s="966"/>
      <c r="H47" s="133"/>
      <c r="I47" s="966"/>
      <c r="J47" s="966"/>
      <c r="K47" s="179"/>
      <c r="L47" s="179"/>
      <c r="M47" s="179"/>
      <c r="N47" s="966"/>
      <c r="O47" s="966"/>
      <c r="P47" s="179"/>
      <c r="Q47" s="179"/>
      <c r="R47" s="179"/>
      <c r="S47" s="179"/>
      <c r="T47" s="179"/>
      <c r="U47" s="179"/>
      <c r="V47" s="247"/>
      <c r="W47" s="455"/>
    </row>
    <row r="48" spans="2:22" ht="13.5" customHeight="1">
      <c r="B48" s="134"/>
      <c r="C48" s="1398"/>
      <c r="D48" s="79"/>
      <c r="E48" s="79"/>
      <c r="F48" s="79"/>
      <c r="G48" s="79"/>
      <c r="H48" s="148"/>
      <c r="I48" s="79"/>
      <c r="J48" s="79"/>
      <c r="K48" s="79"/>
      <c r="L48" s="79"/>
      <c r="M48" s="79"/>
      <c r="N48" s="79"/>
      <c r="O48" s="79"/>
      <c r="P48" s="79"/>
      <c r="Q48" s="79"/>
      <c r="R48" s="79"/>
      <c r="S48" s="79"/>
      <c r="T48" s="79"/>
      <c r="U48" s="79"/>
      <c r="V48" s="192"/>
    </row>
    <row r="49" spans="2:22" ht="3" customHeight="1">
      <c r="B49" s="135"/>
      <c r="C49" s="61"/>
      <c r="D49" s="61"/>
      <c r="E49" s="61"/>
      <c r="F49" s="61"/>
      <c r="G49" s="61"/>
      <c r="H49" s="314"/>
      <c r="I49" s="61"/>
      <c r="J49" s="61"/>
      <c r="K49" s="61"/>
      <c r="L49" s="61"/>
      <c r="M49" s="61"/>
      <c r="N49" s="61"/>
      <c r="O49" s="61"/>
      <c r="P49" s="61"/>
      <c r="Q49" s="61"/>
      <c r="R49" s="61"/>
      <c r="S49" s="61"/>
      <c r="T49" s="61"/>
      <c r="U49" s="61"/>
      <c r="V49" s="1414"/>
    </row>
  </sheetData>
  <sheetProtection password="DAD6" sheet="1" formatCells="0" formatColumns="0" formatRows="0" insertColumns="0" insertRows="0" insertHyperlinks="0" deleteColumns="0" deleteRows="0" sort="0" autoFilter="0" pivotTables="0"/>
  <mergeCells count="3">
    <mergeCell ref="B1:C1"/>
    <mergeCell ref="N4:Q4"/>
    <mergeCell ref="D4:L4"/>
  </mergeCells>
  <hyperlinks>
    <hyperlink ref="C34" location="'Rep&amp;org. fig. YTD'!G6" display="Exceptional items on EBITDA (aka &quot;other non organic items&quot;)"/>
    <hyperlink ref="C41" location="'Rep&amp;org. fig. YTD'!G6" display="Exceptional items on EBITDA (aka &quot;other non organic items&quot;)"/>
    <hyperlink ref="C37" location="'Rep&amp;org. fig. YTD'!G6" display="Exceptional items on EBITDA (aka &quot;other non organic items&quot;)"/>
    <hyperlink ref="Y9" location="'Domestic Business Results'!A1" display="Domestic Business Results"/>
    <hyperlink ref="Y10" location="'Domestic Wireline Results'!A1" display="Domestic Wireline Results"/>
    <hyperlink ref="Y11" location="'Domestic Mobile Results'!A1" display="Domestic Mobile Results"/>
    <hyperlink ref="Y12" location="'TIM Brasil Results'!A1" display="TIM Brasil Results"/>
    <hyperlink ref="Y13" location="'European BroadBand'!A1" display="European BroadBand"/>
    <hyperlink ref="Y17" location="'Main Group''s Subsidiries'!A1" display="Main Group's Subsidiaries"/>
    <hyperlink ref="Y5" location="'Key fin data by BU YTD'!A1" display="Key Financial data by BU YTD"/>
    <hyperlink ref="Y18" location="'Analyst Tools'!A1" display="Analyst Tools"/>
    <hyperlink ref="Y19" location="'Historic Data'!A1" display="Historic Data"/>
    <hyperlink ref="Y4" location="'P&amp;L Group by quarter'!A1" display="P&amp;L Group by quarter"/>
    <hyperlink ref="Y6" location="'Key fin. data by BU by quarter'!A1" display="Key Financial data by quarter"/>
    <hyperlink ref="Y7" location="'Balance Sheet'!A1" display="Balance Sheet"/>
    <hyperlink ref="Y8" location="'Cashflow Statement'!A1" display="Cashflow Statement"/>
    <hyperlink ref="Y14" location="'1Q Rep&amp;org.'!A1" display="Repoerted &amp; Organic figures"/>
    <hyperlink ref="Y15" location="'2Q Rep&amp;org.'!A1" display="Reported &amp; Organic figures 2Q08 vs 2Q07"/>
    <hyperlink ref="Y16" location="'3Q Rep&amp;org.'!A1" display="Reported &amp; Organic figures 3Q08 vs 3Q07"/>
    <hyperlink ref="Y20" location="Cover!A1" display="Cover"/>
  </hyperlinks>
  <printOptions horizontalCentered="1" verticalCentered="1"/>
  <pageMargins left="0" right="0" top="0" bottom="0" header="0.5118110236220472" footer="0.31496062992125984"/>
  <pageSetup horizontalDpi="600" verticalDpi="600" orientation="landscape" paperSize="9" scale="93" r:id="rId3"/>
  <drawing r:id="rId1"/>
  <legacyDrawingHF r:id="rId2"/>
</worksheet>
</file>

<file path=xl/worksheets/sheet20.xml><?xml version="1.0" encoding="utf-8"?>
<worksheet xmlns="http://schemas.openxmlformats.org/spreadsheetml/2006/main" xmlns:r="http://schemas.openxmlformats.org/officeDocument/2006/relationships">
  <sheetPr codeName="Sheet2">
    <tabColor indexed="46"/>
    <pageSetUpPr fitToPage="1"/>
  </sheetPr>
  <dimension ref="A2:V53"/>
  <sheetViews>
    <sheetView workbookViewId="0" topLeftCell="A1">
      <pane xSplit="1" topLeftCell="B1" activePane="topRight" state="frozen"/>
      <selection pane="topLeft" activeCell="J56" sqref="J55:J56"/>
      <selection pane="topRight" activeCell="J56" sqref="J55:J56"/>
    </sheetView>
  </sheetViews>
  <sheetFormatPr defaultColWidth="9.140625" defaultRowHeight="12.75" outlineLevelRow="1"/>
  <cols>
    <col min="1" max="1" width="18.28125" style="0" bestFit="1" customWidth="1"/>
    <col min="2" max="5" width="9.140625" style="1352" customWidth="1"/>
    <col min="6" max="6" width="2.8515625" style="1352" customWidth="1"/>
    <col min="7" max="10" width="9.140625" style="1352" customWidth="1"/>
    <col min="11" max="11" width="2.421875" style="1352" customWidth="1"/>
    <col min="12" max="15" width="9.140625" style="1352" customWidth="1"/>
  </cols>
  <sheetData>
    <row r="2" spans="1:15" ht="12.75">
      <c r="A2" s="1354" t="s">
        <v>0</v>
      </c>
      <c r="B2" s="1355" t="s">
        <v>339</v>
      </c>
      <c r="C2" s="1355" t="s">
        <v>6</v>
      </c>
      <c r="D2" s="1355" t="s">
        <v>452</v>
      </c>
      <c r="E2" s="1355" t="s">
        <v>453</v>
      </c>
      <c r="F2" s="1355"/>
      <c r="G2" s="1355" t="s">
        <v>435</v>
      </c>
      <c r="H2" s="1355" t="s">
        <v>142</v>
      </c>
      <c r="I2" s="1355" t="s">
        <v>452</v>
      </c>
      <c r="J2" s="1355" t="s">
        <v>453</v>
      </c>
      <c r="K2" s="1355"/>
      <c r="L2" s="1355" t="s">
        <v>434</v>
      </c>
      <c r="M2" s="1355" t="s">
        <v>148</v>
      </c>
      <c r="N2" s="1355" t="s">
        <v>452</v>
      </c>
      <c r="O2" s="1355" t="s">
        <v>453</v>
      </c>
    </row>
    <row r="3" spans="1:15" ht="12.75">
      <c r="A3" t="s">
        <v>7</v>
      </c>
      <c r="B3" s="1360">
        <v>5619</v>
      </c>
      <c r="C3" s="1360">
        <v>6009</v>
      </c>
      <c r="D3" s="1352">
        <v>-390</v>
      </c>
      <c r="E3" s="1352">
        <v>-6.5</v>
      </c>
      <c r="G3" s="1360">
        <v>5801</v>
      </c>
      <c r="H3" s="1360">
        <v>6173</v>
      </c>
      <c r="I3" s="1352">
        <v>-372</v>
      </c>
      <c r="J3" s="1352">
        <v>-6</v>
      </c>
      <c r="L3" s="1360">
        <v>11420</v>
      </c>
      <c r="M3" s="1360">
        <v>12182</v>
      </c>
      <c r="N3" s="1352">
        <v>-762</v>
      </c>
      <c r="O3" s="1352">
        <v>-6.3</v>
      </c>
    </row>
    <row r="4" spans="1:15" ht="12.75">
      <c r="A4" s="1361" t="s">
        <v>397</v>
      </c>
      <c r="B4" s="1362">
        <v>3746</v>
      </c>
      <c r="C4" s="1362">
        <v>3989</v>
      </c>
      <c r="D4" s="1363">
        <v>-243</v>
      </c>
      <c r="E4" s="1363">
        <v>-6.1</v>
      </c>
      <c r="F4" s="1363"/>
      <c r="G4" s="1362">
        <v>3739</v>
      </c>
      <c r="H4" s="1362">
        <v>3994</v>
      </c>
      <c r="I4" s="1363">
        <v>-255</v>
      </c>
      <c r="J4" s="1363">
        <v>-6.4</v>
      </c>
      <c r="K4" s="1363"/>
      <c r="L4" s="1362">
        <v>7485</v>
      </c>
      <c r="M4" s="1362">
        <v>7983</v>
      </c>
      <c r="N4" s="1363">
        <v>-498</v>
      </c>
      <c r="O4" s="1363">
        <v>-6.2</v>
      </c>
    </row>
    <row r="5" spans="1:15" ht="12.75">
      <c r="A5" s="1361" t="s">
        <v>468</v>
      </c>
      <c r="B5" s="1362">
        <v>2236</v>
      </c>
      <c r="C5" s="1362">
        <v>2365</v>
      </c>
      <c r="D5" s="1363">
        <v>-129</v>
      </c>
      <c r="E5" s="1363">
        <v>-5.5</v>
      </c>
      <c r="F5" s="1363"/>
      <c r="G5" s="1362">
        <v>2433</v>
      </c>
      <c r="H5" s="1362">
        <v>2551</v>
      </c>
      <c r="I5" s="1363">
        <v>-118</v>
      </c>
      <c r="J5" s="1363">
        <v>-4.6</v>
      </c>
      <c r="K5" s="1363"/>
      <c r="L5" s="1362">
        <v>4669</v>
      </c>
      <c r="M5" s="1362">
        <v>4916</v>
      </c>
      <c r="N5" s="1363">
        <v>-247</v>
      </c>
      <c r="O5" s="1363">
        <v>-5</v>
      </c>
    </row>
    <row r="6" spans="1:15" ht="12.75" hidden="1" outlineLevel="1">
      <c r="A6" s="1361" t="s">
        <v>469</v>
      </c>
      <c r="B6" s="1363">
        <v>375</v>
      </c>
      <c r="C6" s="1363">
        <v>340</v>
      </c>
      <c r="D6" s="1363">
        <v>35</v>
      </c>
      <c r="E6" s="1363">
        <v>10.3</v>
      </c>
      <c r="F6" s="1363"/>
      <c r="G6" s="1363">
        <v>371</v>
      </c>
      <c r="H6" s="1363">
        <v>362</v>
      </c>
      <c r="I6" s="1363">
        <v>9</v>
      </c>
      <c r="J6" s="1363">
        <v>2.5</v>
      </c>
      <c r="K6" s="1363"/>
      <c r="L6" s="1363">
        <v>746</v>
      </c>
      <c r="M6" s="1363">
        <v>702</v>
      </c>
      <c r="N6" s="1363">
        <v>44</v>
      </c>
      <c r="O6" s="1363">
        <v>6.3</v>
      </c>
    </row>
    <row r="7" spans="1:15" ht="12.75" collapsed="1">
      <c r="A7" t="s">
        <v>470</v>
      </c>
      <c r="B7" s="1352">
        <v>323</v>
      </c>
      <c r="C7" s="1352">
        <v>216</v>
      </c>
      <c r="D7" s="1352">
        <v>107</v>
      </c>
      <c r="E7" s="1352">
        <v>49.5</v>
      </c>
      <c r="G7" s="1352">
        <v>319</v>
      </c>
      <c r="H7" s="1352">
        <v>296</v>
      </c>
      <c r="I7" s="1352">
        <v>23</v>
      </c>
      <c r="J7" s="1352">
        <v>7.8</v>
      </c>
      <c r="L7" s="1352">
        <v>642</v>
      </c>
      <c r="M7" s="1352">
        <v>512</v>
      </c>
      <c r="N7" s="1352">
        <v>130</v>
      </c>
      <c r="O7" s="1352">
        <v>25.4</v>
      </c>
    </row>
    <row r="8" spans="1:15" ht="12.75" hidden="1" outlineLevel="1">
      <c r="A8" t="s">
        <v>466</v>
      </c>
      <c r="B8" s="1352">
        <v>303</v>
      </c>
      <c r="C8" s="1352">
        <v>198</v>
      </c>
      <c r="D8" s="1352">
        <v>105</v>
      </c>
      <c r="E8" s="1352">
        <v>53</v>
      </c>
      <c r="G8" s="1352">
        <v>298</v>
      </c>
      <c r="H8" s="1352">
        <v>278</v>
      </c>
      <c r="I8" s="1352">
        <v>20</v>
      </c>
      <c r="J8" s="1352">
        <v>7.2</v>
      </c>
      <c r="L8" s="1352">
        <v>601</v>
      </c>
      <c r="M8" s="1352">
        <v>476</v>
      </c>
      <c r="N8" s="1352">
        <v>125</v>
      </c>
      <c r="O8" s="1352">
        <v>26.3</v>
      </c>
    </row>
    <row r="9" spans="1:15" ht="12.75" collapsed="1">
      <c r="A9" t="s">
        <v>471</v>
      </c>
      <c r="B9" s="1360">
        <v>1224</v>
      </c>
      <c r="C9" s="1360">
        <v>1100</v>
      </c>
      <c r="D9" s="1352">
        <v>124</v>
      </c>
      <c r="E9" s="1352">
        <v>11.3</v>
      </c>
      <c r="G9" s="1360">
        <v>1313</v>
      </c>
      <c r="H9" s="1360">
        <v>1222</v>
      </c>
      <c r="I9" s="1352">
        <v>91</v>
      </c>
      <c r="J9" s="1352">
        <v>7.4</v>
      </c>
      <c r="L9" s="1360">
        <v>2537</v>
      </c>
      <c r="M9" s="1360">
        <v>2322</v>
      </c>
      <c r="N9" s="1352">
        <v>215</v>
      </c>
      <c r="O9" s="1352">
        <v>9.3</v>
      </c>
    </row>
    <row r="10" spans="1:15" ht="12.75">
      <c r="A10" t="s">
        <v>408</v>
      </c>
      <c r="B10" s="1352">
        <v>74</v>
      </c>
      <c r="C10" s="1352">
        <v>58</v>
      </c>
      <c r="D10" s="1352">
        <v>16</v>
      </c>
      <c r="E10" s="1352">
        <v>27.6</v>
      </c>
      <c r="G10" s="1352">
        <v>74</v>
      </c>
      <c r="H10" s="1352">
        <v>67</v>
      </c>
      <c r="I10" s="1352">
        <v>7</v>
      </c>
      <c r="J10" s="1352">
        <v>10.4</v>
      </c>
      <c r="L10" s="1352">
        <v>148</v>
      </c>
      <c r="M10" s="1352">
        <v>125</v>
      </c>
      <c r="N10" s="1352">
        <v>23</v>
      </c>
      <c r="O10" s="1352">
        <v>18.4</v>
      </c>
    </row>
    <row r="11" spans="1:15" ht="12.75">
      <c r="A11" t="s">
        <v>9</v>
      </c>
      <c r="B11" s="1352">
        <v>83</v>
      </c>
      <c r="C11" s="1352">
        <v>83</v>
      </c>
      <c r="D11" s="1352">
        <v>0</v>
      </c>
      <c r="E11" s="1352">
        <v>0</v>
      </c>
      <c r="G11" s="1352">
        <v>97</v>
      </c>
      <c r="H11" s="1352">
        <v>109</v>
      </c>
      <c r="I11" s="1352">
        <v>-12</v>
      </c>
      <c r="J11" s="1352">
        <v>-11</v>
      </c>
      <c r="L11" s="1352">
        <v>180</v>
      </c>
      <c r="M11" s="1352">
        <v>192</v>
      </c>
      <c r="N11" s="1352">
        <v>-12</v>
      </c>
      <c r="O11" s="1352">
        <v>-6.3</v>
      </c>
    </row>
    <row r="12" spans="1:15" ht="12.75">
      <c r="A12" t="s">
        <v>187</v>
      </c>
      <c r="B12" s="1352">
        <v>76</v>
      </c>
      <c r="C12" s="1352">
        <v>60</v>
      </c>
      <c r="D12" s="1352">
        <v>16</v>
      </c>
      <c r="E12" s="1352">
        <v>26.7</v>
      </c>
      <c r="G12" s="1352">
        <v>22</v>
      </c>
      <c r="H12" s="1352">
        <v>49</v>
      </c>
      <c r="I12" s="1352">
        <v>-27</v>
      </c>
      <c r="J12" s="1352">
        <v>-55.1</v>
      </c>
      <c r="L12" s="1365">
        <v>98</v>
      </c>
      <c r="M12" s="1352">
        <v>109</v>
      </c>
      <c r="N12" s="1352">
        <v>-11</v>
      </c>
      <c r="O12" s="1352">
        <v>-10.1</v>
      </c>
    </row>
    <row r="13" spans="1:15" ht="12.75" hidden="1" outlineLevel="1">
      <c r="A13" t="s">
        <v>55</v>
      </c>
      <c r="B13" s="1352">
        <v>52</v>
      </c>
      <c r="C13" s="1352">
        <v>56</v>
      </c>
      <c r="D13" s="1352">
        <v>-4</v>
      </c>
      <c r="E13" s="1352">
        <v>-7.1</v>
      </c>
      <c r="G13" s="1352">
        <v>0</v>
      </c>
      <c r="H13" s="1352">
        <v>46</v>
      </c>
      <c r="I13" s="1352">
        <v>-46</v>
      </c>
      <c r="J13" s="1352">
        <v>-100</v>
      </c>
      <c r="L13" s="1352">
        <v>52</v>
      </c>
      <c r="M13" s="1352">
        <v>102</v>
      </c>
      <c r="N13" s="1352">
        <v>-50</v>
      </c>
      <c r="O13" s="1352">
        <v>-49</v>
      </c>
    </row>
    <row r="14" spans="1:15" ht="12.75" collapsed="1">
      <c r="A14" t="s">
        <v>467</v>
      </c>
      <c r="B14" s="1352">
        <v>-101</v>
      </c>
      <c r="C14" s="1352">
        <v>-51</v>
      </c>
      <c r="D14" s="1352">
        <v>-50</v>
      </c>
      <c r="E14" s="1352">
        <v>-98</v>
      </c>
      <c r="G14" s="1352">
        <v>-86</v>
      </c>
      <c r="H14" s="1352">
        <v>-54</v>
      </c>
      <c r="I14" s="1352">
        <v>-32</v>
      </c>
      <c r="J14" s="1352">
        <v>-59.3</v>
      </c>
      <c r="L14" s="1352">
        <v>-187</v>
      </c>
      <c r="M14" s="1352">
        <v>-105</v>
      </c>
      <c r="N14" s="1352">
        <v>-82</v>
      </c>
      <c r="O14" s="1352">
        <v>-78.1</v>
      </c>
    </row>
    <row r="15" spans="1:15" ht="12.75">
      <c r="A15" s="1354" t="s">
        <v>10</v>
      </c>
      <c r="B15" s="1357">
        <v>7298</v>
      </c>
      <c r="C15" s="1357">
        <v>7475</v>
      </c>
      <c r="D15" s="1355">
        <v>-177</v>
      </c>
      <c r="E15" s="1355">
        <v>-2.4</v>
      </c>
      <c r="F15" s="1355"/>
      <c r="G15" s="1357">
        <v>7540</v>
      </c>
      <c r="H15" s="1357">
        <v>7862</v>
      </c>
      <c r="I15" s="1355">
        <v>-322</v>
      </c>
      <c r="J15" s="1355">
        <v>-4.1</v>
      </c>
      <c r="K15" s="1355"/>
      <c r="L15" s="1357">
        <v>14838</v>
      </c>
      <c r="M15" s="1357">
        <v>15337</v>
      </c>
      <c r="N15" s="1355">
        <v>-499</v>
      </c>
      <c r="O15" s="1355">
        <v>-3.3</v>
      </c>
    </row>
    <row r="17" spans="1:15" ht="12.75">
      <c r="A17" s="1354" t="s">
        <v>66</v>
      </c>
      <c r="B17" s="1355" t="s">
        <v>339</v>
      </c>
      <c r="C17" s="1355" t="s">
        <v>6</v>
      </c>
      <c r="D17" s="1355" t="s">
        <v>452</v>
      </c>
      <c r="E17" s="1355" t="s">
        <v>453</v>
      </c>
      <c r="F17" s="1355"/>
      <c r="G17" s="1355" t="s">
        <v>435</v>
      </c>
      <c r="H17" s="1355" t="s">
        <v>142</v>
      </c>
      <c r="I17" s="1355" t="s">
        <v>452</v>
      </c>
      <c r="J17" s="1355" t="s">
        <v>453</v>
      </c>
      <c r="K17" s="1355"/>
      <c r="L17" s="1355" t="s">
        <v>434</v>
      </c>
      <c r="M17" s="1355" t="s">
        <v>148</v>
      </c>
      <c r="N17" s="1355" t="s">
        <v>452</v>
      </c>
      <c r="O17" s="1355" t="s">
        <v>453</v>
      </c>
    </row>
    <row r="18" spans="1:16" ht="12.75">
      <c r="A18" t="s">
        <v>7</v>
      </c>
      <c r="B18" s="1360">
        <v>2667</v>
      </c>
      <c r="C18" s="1360">
        <v>2853</v>
      </c>
      <c r="D18" s="1352">
        <v>-186</v>
      </c>
      <c r="E18" s="1352">
        <v>-6.5</v>
      </c>
      <c r="F18" s="1360"/>
      <c r="G18" s="1360">
        <v>2264</v>
      </c>
      <c r="H18" s="1360">
        <v>2766</v>
      </c>
      <c r="I18" s="1352">
        <v>-502</v>
      </c>
      <c r="J18" s="1352">
        <v>-18.1</v>
      </c>
      <c r="L18" s="1360">
        <v>4931</v>
      </c>
      <c r="M18" s="1360">
        <v>5619</v>
      </c>
      <c r="N18" s="1352">
        <v>-688</v>
      </c>
      <c r="O18" s="1352">
        <v>-12.2</v>
      </c>
      <c r="P18" s="1358"/>
    </row>
    <row r="19" spans="1:15" ht="12.75">
      <c r="A19" t="s">
        <v>470</v>
      </c>
      <c r="B19" s="1352">
        <v>61</v>
      </c>
      <c r="C19" s="1352">
        <v>54</v>
      </c>
      <c r="D19" s="1352">
        <v>7</v>
      </c>
      <c r="E19" s="1352">
        <v>13</v>
      </c>
      <c r="G19" s="1352">
        <v>58</v>
      </c>
      <c r="H19" s="1352">
        <v>74</v>
      </c>
      <c r="I19" s="1352">
        <v>-16</v>
      </c>
      <c r="J19" s="1352">
        <v>-21.6</v>
      </c>
      <c r="L19" s="1352">
        <v>119</v>
      </c>
      <c r="M19" s="1352">
        <v>128</v>
      </c>
      <c r="N19" s="1352">
        <v>-9</v>
      </c>
      <c r="O19" s="1352">
        <v>-7</v>
      </c>
    </row>
    <row r="20" spans="1:15" ht="12.75" hidden="1" outlineLevel="1">
      <c r="A20" t="s">
        <v>466</v>
      </c>
      <c r="B20" s="1352">
        <v>59</v>
      </c>
      <c r="C20" s="1352">
        <v>48</v>
      </c>
      <c r="D20" s="1352">
        <v>11</v>
      </c>
      <c r="E20" s="1352">
        <v>22.9</v>
      </c>
      <c r="G20" s="1352">
        <v>56</v>
      </c>
      <c r="H20" s="1352">
        <v>70</v>
      </c>
      <c r="I20" s="1352">
        <v>-14</v>
      </c>
      <c r="J20" s="1352">
        <v>-20</v>
      </c>
      <c r="L20" s="1352">
        <v>115</v>
      </c>
      <c r="M20" s="1352">
        <v>118</v>
      </c>
      <c r="N20" s="1352">
        <v>-3</v>
      </c>
      <c r="O20" s="1352">
        <v>-2.5</v>
      </c>
    </row>
    <row r="21" spans="1:15" ht="12.75" collapsed="1">
      <c r="A21" t="s">
        <v>471</v>
      </c>
      <c r="B21" s="1352">
        <v>242</v>
      </c>
      <c r="C21" s="1352">
        <v>269</v>
      </c>
      <c r="D21" s="1352">
        <v>-27</v>
      </c>
      <c r="E21" s="1352">
        <v>-10</v>
      </c>
      <c r="G21" s="1352">
        <v>279</v>
      </c>
      <c r="H21" s="1352">
        <v>316</v>
      </c>
      <c r="I21" s="1352">
        <v>-37</v>
      </c>
      <c r="J21" s="1352">
        <v>-11.7</v>
      </c>
      <c r="L21" s="1352">
        <v>521</v>
      </c>
      <c r="M21" s="1352">
        <v>585</v>
      </c>
      <c r="N21" s="1352">
        <v>-64</v>
      </c>
      <c r="O21" s="1352">
        <v>-10.9</v>
      </c>
    </row>
    <row r="22" spans="1:15" ht="12.75">
      <c r="A22" t="s">
        <v>408</v>
      </c>
      <c r="B22" s="1352">
        <v>-21</v>
      </c>
      <c r="C22" s="1352">
        <v>-11</v>
      </c>
      <c r="D22" s="1352">
        <v>-10</v>
      </c>
      <c r="E22" s="1352">
        <v>-90.9</v>
      </c>
      <c r="G22" s="1352">
        <v>-14</v>
      </c>
      <c r="H22" s="1352">
        <v>-10</v>
      </c>
      <c r="I22" s="1352">
        <v>-4</v>
      </c>
      <c r="J22" s="1352">
        <v>-40</v>
      </c>
      <c r="L22" s="1352">
        <v>-35</v>
      </c>
      <c r="M22" s="1352">
        <v>-21</v>
      </c>
      <c r="N22" s="1352">
        <v>-14</v>
      </c>
      <c r="O22" s="1352">
        <v>-66.7</v>
      </c>
    </row>
    <row r="23" spans="1:15" ht="12.75">
      <c r="A23" t="s">
        <v>9</v>
      </c>
      <c r="B23" s="1352">
        <v>-7</v>
      </c>
      <c r="C23" s="1352">
        <v>-10</v>
      </c>
      <c r="D23" s="1352">
        <v>3</v>
      </c>
      <c r="E23" s="1352">
        <v>30</v>
      </c>
      <c r="G23" s="1352">
        <v>-5</v>
      </c>
      <c r="H23" s="1352">
        <v>-7</v>
      </c>
      <c r="I23" s="1352">
        <v>2</v>
      </c>
      <c r="J23" s="1352">
        <v>28.6</v>
      </c>
      <c r="L23" s="1352">
        <v>-12</v>
      </c>
      <c r="M23" s="1352">
        <v>-17</v>
      </c>
      <c r="N23" s="1352">
        <v>5</v>
      </c>
      <c r="O23" s="1352">
        <v>29.4</v>
      </c>
    </row>
    <row r="24" spans="1:15" ht="12.75">
      <c r="A24" t="s">
        <v>187</v>
      </c>
      <c r="B24" s="1352">
        <v>26</v>
      </c>
      <c r="C24" s="1352">
        <v>23</v>
      </c>
      <c r="D24" s="1352">
        <v>3</v>
      </c>
      <c r="E24" s="1352">
        <v>13</v>
      </c>
      <c r="G24" s="1352">
        <v>-3</v>
      </c>
      <c r="H24" s="1352">
        <v>18</v>
      </c>
      <c r="I24" s="1352">
        <v>-21</v>
      </c>
      <c r="J24" s="1352" t="s">
        <v>333</v>
      </c>
      <c r="L24" s="1352">
        <v>23</v>
      </c>
      <c r="M24" s="1352">
        <v>41</v>
      </c>
      <c r="N24" s="1352">
        <v>-18</v>
      </c>
      <c r="O24" s="1352">
        <v>-43.9</v>
      </c>
    </row>
    <row r="25" spans="1:17" ht="12.75" hidden="1" outlineLevel="1">
      <c r="A25" t="s">
        <v>55</v>
      </c>
      <c r="B25" s="1352">
        <v>24</v>
      </c>
      <c r="C25" s="1352">
        <v>27</v>
      </c>
      <c r="D25" s="1352">
        <v>-3</v>
      </c>
      <c r="E25" s="1352">
        <v>-11.1</v>
      </c>
      <c r="G25" s="1352">
        <v>0</v>
      </c>
      <c r="H25" s="1352">
        <v>20</v>
      </c>
      <c r="I25" s="1352">
        <v>-20</v>
      </c>
      <c r="J25" s="1352">
        <v>-100</v>
      </c>
      <c r="L25" s="1352">
        <v>24</v>
      </c>
      <c r="M25" s="1352">
        <v>47</v>
      </c>
      <c r="N25" s="1352">
        <v>-23</v>
      </c>
      <c r="O25" s="1352">
        <v>-48.9</v>
      </c>
      <c r="Q25" s="35" t="s">
        <v>91</v>
      </c>
    </row>
    <row r="26" spans="1:22" ht="12.75" collapsed="1">
      <c r="A26" t="s">
        <v>467</v>
      </c>
      <c r="B26" s="1352">
        <v>-2</v>
      </c>
      <c r="C26" s="1352">
        <v>0</v>
      </c>
      <c r="D26" s="1352">
        <v>-2</v>
      </c>
      <c r="E26" s="1352" t="s">
        <v>333</v>
      </c>
      <c r="G26" s="1352">
        <v>-10</v>
      </c>
      <c r="H26" s="1352">
        <v>0</v>
      </c>
      <c r="I26" s="1352">
        <v>-10</v>
      </c>
      <c r="J26" s="1352" t="s">
        <v>333</v>
      </c>
      <c r="L26" s="1352">
        <v>-12</v>
      </c>
      <c r="M26" s="1352">
        <v>0</v>
      </c>
      <c r="N26" s="1352">
        <v>-12</v>
      </c>
      <c r="O26" s="1352" t="s">
        <v>333</v>
      </c>
      <c r="Q26" s="29"/>
      <c r="V26" s="1359"/>
    </row>
    <row r="27" spans="1:17" ht="12.75">
      <c r="A27" s="1354" t="s">
        <v>10</v>
      </c>
      <c r="B27" s="1357">
        <v>2966</v>
      </c>
      <c r="C27" s="1357">
        <v>3178</v>
      </c>
      <c r="D27" s="1355">
        <v>-212</v>
      </c>
      <c r="E27" s="1355">
        <v>-6.7</v>
      </c>
      <c r="F27" s="1357"/>
      <c r="G27" s="1357">
        <v>2569</v>
      </c>
      <c r="H27" s="1357">
        <v>3157</v>
      </c>
      <c r="I27" s="1355">
        <v>-588</v>
      </c>
      <c r="J27" s="1355">
        <v>-18.6</v>
      </c>
      <c r="K27" s="1355"/>
      <c r="L27" s="1357">
        <v>5535</v>
      </c>
      <c r="M27" s="1357">
        <v>6335</v>
      </c>
      <c r="N27" s="1355">
        <v>-800</v>
      </c>
      <c r="O27" s="1355">
        <v>-12.6</v>
      </c>
      <c r="P27" s="1358"/>
      <c r="Q27" s="29"/>
    </row>
    <row r="28" ht="12.75">
      <c r="Q28" s="29"/>
    </row>
    <row r="29" ht="12.75">
      <c r="Q29" s="29"/>
    </row>
    <row r="30" spans="1:17" ht="12.75">
      <c r="A30" s="1354" t="s">
        <v>47</v>
      </c>
      <c r="B30" s="1355" t="s">
        <v>339</v>
      </c>
      <c r="C30" s="1355" t="s">
        <v>6</v>
      </c>
      <c r="D30" s="1355" t="s">
        <v>452</v>
      </c>
      <c r="E30" s="1355" t="s">
        <v>453</v>
      </c>
      <c r="F30" s="1355"/>
      <c r="G30" s="1355" t="s">
        <v>435</v>
      </c>
      <c r="H30" s="1355" t="s">
        <v>142</v>
      </c>
      <c r="I30" s="1355" t="s">
        <v>452</v>
      </c>
      <c r="J30" s="1355" t="s">
        <v>453</v>
      </c>
      <c r="K30" s="1355"/>
      <c r="L30" s="1355" t="s">
        <v>434</v>
      </c>
      <c r="M30" s="1355" t="s">
        <v>148</v>
      </c>
      <c r="N30" s="1355" t="s">
        <v>452</v>
      </c>
      <c r="O30" s="1355" t="s">
        <v>453</v>
      </c>
      <c r="Q30" s="29"/>
    </row>
    <row r="31" spans="1:20" ht="12.75">
      <c r="A31" t="s">
        <v>7</v>
      </c>
      <c r="B31" s="1360">
        <v>1566</v>
      </c>
      <c r="C31" s="1360">
        <v>1790</v>
      </c>
      <c r="D31" s="1352">
        <v>-224</v>
      </c>
      <c r="E31" s="1352">
        <v>-12.5</v>
      </c>
      <c r="F31" s="1360"/>
      <c r="G31" s="1360">
        <v>1113</v>
      </c>
      <c r="H31" s="1360">
        <v>1666</v>
      </c>
      <c r="I31" s="1352">
        <v>-553</v>
      </c>
      <c r="J31" s="1352">
        <v>-33.2</v>
      </c>
      <c r="L31" s="1360">
        <v>2679</v>
      </c>
      <c r="M31" s="1360">
        <v>3456</v>
      </c>
      <c r="N31" s="1352">
        <v>-777</v>
      </c>
      <c r="O31" s="1352">
        <v>-22.5</v>
      </c>
      <c r="Q31" s="28"/>
      <c r="T31" s="1358"/>
    </row>
    <row r="32" spans="1:17" ht="12.75">
      <c r="A32" t="s">
        <v>470</v>
      </c>
      <c r="B32" s="1352">
        <v>6</v>
      </c>
      <c r="C32" s="1352">
        <v>22</v>
      </c>
      <c r="D32" s="1352">
        <v>-16</v>
      </c>
      <c r="E32" s="1352">
        <v>-72.7</v>
      </c>
      <c r="G32" s="1352">
        <v>-4</v>
      </c>
      <c r="H32" s="1352">
        <v>30</v>
      </c>
      <c r="I32" s="1352">
        <v>-34</v>
      </c>
      <c r="J32" s="1352" t="s">
        <v>333</v>
      </c>
      <c r="L32" s="1352">
        <v>2</v>
      </c>
      <c r="M32" s="1352">
        <v>52</v>
      </c>
      <c r="N32" s="1352">
        <v>-50</v>
      </c>
      <c r="O32" s="1352">
        <v>-96.2</v>
      </c>
      <c r="Q32" s="7"/>
    </row>
    <row r="33" spans="1:15" ht="12.75" hidden="1" outlineLevel="1">
      <c r="A33" t="s">
        <v>466</v>
      </c>
      <c r="B33" s="1352">
        <v>9</v>
      </c>
      <c r="C33" s="1352">
        <v>22</v>
      </c>
      <c r="D33" s="1352">
        <v>-13</v>
      </c>
      <c r="E33" s="1352">
        <v>-59.1</v>
      </c>
      <c r="G33" s="1352">
        <v>0</v>
      </c>
      <c r="H33" s="1352">
        <v>30</v>
      </c>
      <c r="I33" s="1352">
        <v>-30</v>
      </c>
      <c r="J33" s="1352">
        <v>-100</v>
      </c>
      <c r="L33" s="1352">
        <v>9</v>
      </c>
      <c r="M33" s="1352">
        <v>52</v>
      </c>
      <c r="N33" s="1352">
        <v>-43</v>
      </c>
      <c r="O33" s="1352">
        <v>-82.7</v>
      </c>
    </row>
    <row r="34" spans="1:15" ht="12.75" collapsed="1">
      <c r="A34" t="s">
        <v>471</v>
      </c>
      <c r="B34" s="1352">
        <v>-17</v>
      </c>
      <c r="C34" s="1352">
        <v>16</v>
      </c>
      <c r="D34" s="1352">
        <v>-33</v>
      </c>
      <c r="E34" s="1352" t="s">
        <v>333</v>
      </c>
      <c r="G34" s="1352">
        <v>15</v>
      </c>
      <c r="H34" s="1352">
        <v>53</v>
      </c>
      <c r="I34" s="1352">
        <v>-38</v>
      </c>
      <c r="J34" s="1352">
        <v>-71.7</v>
      </c>
      <c r="L34" s="1352">
        <v>-2</v>
      </c>
      <c r="M34" s="1352">
        <v>69</v>
      </c>
      <c r="N34" s="1352">
        <v>-71</v>
      </c>
      <c r="O34" s="1352" t="s">
        <v>333</v>
      </c>
    </row>
    <row r="35" spans="1:15" ht="12.75">
      <c r="A35" t="s">
        <v>408</v>
      </c>
      <c r="B35" s="1352">
        <v>-37</v>
      </c>
      <c r="C35" s="1352">
        <v>-26</v>
      </c>
      <c r="D35" s="1352">
        <v>-11</v>
      </c>
      <c r="E35" s="1352">
        <v>-42.3</v>
      </c>
      <c r="G35" s="1352">
        <v>-32</v>
      </c>
      <c r="H35" s="1352">
        <v>-26</v>
      </c>
      <c r="I35" s="1352">
        <v>-6</v>
      </c>
      <c r="J35" s="1352">
        <v>-23.1</v>
      </c>
      <c r="L35" s="1352">
        <v>-69</v>
      </c>
      <c r="M35" s="1352">
        <v>-52</v>
      </c>
      <c r="N35" s="1352">
        <v>-17</v>
      </c>
      <c r="O35" s="1352">
        <v>-32.7</v>
      </c>
    </row>
    <row r="36" spans="1:15" ht="12.75">
      <c r="A36" t="s">
        <v>9</v>
      </c>
      <c r="B36" s="1352">
        <v>-9</v>
      </c>
      <c r="C36" s="1352">
        <v>-14</v>
      </c>
      <c r="D36" s="1352">
        <v>5</v>
      </c>
      <c r="E36" s="1352">
        <v>35.7</v>
      </c>
      <c r="G36" s="1352">
        <v>-7</v>
      </c>
      <c r="H36" s="1352">
        <v>-10</v>
      </c>
      <c r="I36" s="1352">
        <v>3</v>
      </c>
      <c r="J36" s="1352">
        <v>30</v>
      </c>
      <c r="L36" s="1352">
        <v>-16</v>
      </c>
      <c r="M36" s="1352">
        <v>-24</v>
      </c>
      <c r="N36" s="1352">
        <v>8</v>
      </c>
      <c r="O36" s="1352">
        <v>33.3</v>
      </c>
    </row>
    <row r="37" spans="1:15" ht="12.75">
      <c r="A37" t="s">
        <v>187</v>
      </c>
      <c r="B37" s="1352">
        <v>17</v>
      </c>
      <c r="C37" s="1352">
        <v>15</v>
      </c>
      <c r="D37" s="1352">
        <v>2</v>
      </c>
      <c r="E37" s="1352">
        <v>13.3</v>
      </c>
      <c r="G37" s="1352">
        <v>-3</v>
      </c>
      <c r="H37" s="1352">
        <v>10</v>
      </c>
      <c r="I37" s="1352">
        <v>-13</v>
      </c>
      <c r="J37" s="1352" t="s">
        <v>333</v>
      </c>
      <c r="L37" s="1352">
        <v>14</v>
      </c>
      <c r="M37" s="1352">
        <v>25</v>
      </c>
      <c r="N37" s="1352">
        <v>-11</v>
      </c>
      <c r="O37" s="1352">
        <v>-44</v>
      </c>
    </row>
    <row r="38" spans="1:15" ht="12.75" hidden="1" outlineLevel="1">
      <c r="A38" t="s">
        <v>55</v>
      </c>
      <c r="B38" s="1352">
        <v>17</v>
      </c>
      <c r="C38" s="1352">
        <v>19</v>
      </c>
      <c r="D38" s="1352">
        <v>-2</v>
      </c>
      <c r="E38" s="1352">
        <v>-10.5</v>
      </c>
      <c r="G38" s="1352">
        <v>0</v>
      </c>
      <c r="H38" s="1352">
        <v>12</v>
      </c>
      <c r="I38" s="1352">
        <v>-12</v>
      </c>
      <c r="J38" s="1352">
        <v>-100</v>
      </c>
      <c r="L38" s="1352">
        <v>17</v>
      </c>
      <c r="M38" s="1352">
        <v>31</v>
      </c>
      <c r="N38" s="1352">
        <v>-14</v>
      </c>
      <c r="O38" s="1352">
        <v>-45.2</v>
      </c>
    </row>
    <row r="39" spans="1:15" ht="12.75" collapsed="1">
      <c r="A39" t="s">
        <v>467</v>
      </c>
      <c r="B39" s="1352">
        <v>2</v>
      </c>
      <c r="C39" s="1352">
        <v>14</v>
      </c>
      <c r="D39" s="1352">
        <v>-12</v>
      </c>
      <c r="E39" s="1352">
        <v>-85.7</v>
      </c>
      <c r="G39" s="1352">
        <v>-2</v>
      </c>
      <c r="H39" s="1352">
        <v>14</v>
      </c>
      <c r="I39" s="1352">
        <v>-16</v>
      </c>
      <c r="J39" s="1352" t="s">
        <v>333</v>
      </c>
      <c r="L39" s="1352">
        <v>0</v>
      </c>
      <c r="M39" s="1352">
        <v>28</v>
      </c>
      <c r="N39" s="1352">
        <v>-28</v>
      </c>
      <c r="O39" s="1352">
        <v>-100</v>
      </c>
    </row>
    <row r="40" spans="1:20" ht="12.75">
      <c r="A40" s="1354" t="s">
        <v>10</v>
      </c>
      <c r="B40" s="1357">
        <v>1528</v>
      </c>
      <c r="C40" s="1357">
        <v>1817</v>
      </c>
      <c r="D40" s="1355">
        <v>-289</v>
      </c>
      <c r="E40" s="1355">
        <v>-15.9</v>
      </c>
      <c r="F40" s="1357"/>
      <c r="G40" s="1357">
        <v>1080</v>
      </c>
      <c r="H40" s="1357">
        <v>1737</v>
      </c>
      <c r="I40" s="1355">
        <v>-657</v>
      </c>
      <c r="J40" s="1355">
        <v>-37.8</v>
      </c>
      <c r="K40" s="1355"/>
      <c r="L40" s="1357">
        <v>2608</v>
      </c>
      <c r="M40" s="1357">
        <v>3554</v>
      </c>
      <c r="N40" s="1355">
        <v>-946</v>
      </c>
      <c r="O40" s="1355">
        <v>-26.6</v>
      </c>
      <c r="T40" s="1358"/>
    </row>
    <row r="45" ht="12.75">
      <c r="A45" s="29"/>
    </row>
    <row r="46" ht="12.75">
      <c r="A46" s="37"/>
    </row>
    <row r="47" ht="12.75">
      <c r="A47" s="37"/>
    </row>
    <row r="48" ht="12.75">
      <c r="A48" s="29"/>
    </row>
    <row r="49" spans="1:3" ht="12.75">
      <c r="A49" s="29"/>
      <c r="C49" s="1376"/>
    </row>
    <row r="50" ht="12.75">
      <c r="A50" s="29"/>
    </row>
    <row r="51" ht="12.75">
      <c r="A51" s="29"/>
    </row>
    <row r="52" ht="12.75">
      <c r="A52" s="28"/>
    </row>
    <row r="53" ht="12.75">
      <c r="A53" s="7"/>
    </row>
  </sheetData>
  <printOptions/>
  <pageMargins left="0.75" right="0.75" top="1" bottom="1" header="0.5" footer="0.5"/>
  <pageSetup fitToHeight="1"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sheetPr codeName="Sheet3">
    <tabColor indexed="46"/>
  </sheetPr>
  <dimension ref="B2:O13"/>
  <sheetViews>
    <sheetView workbookViewId="0" topLeftCell="A1">
      <selection activeCell="J56" sqref="J55:J56"/>
    </sheetView>
  </sheetViews>
  <sheetFormatPr defaultColWidth="9.140625" defaultRowHeight="12.75"/>
  <cols>
    <col min="2" max="2" width="16.28125" style="0" bestFit="1" customWidth="1"/>
    <col min="9" max="9" width="3.00390625" style="0" customWidth="1"/>
  </cols>
  <sheetData>
    <row r="2" ht="12.75">
      <c r="B2" s="1354" t="s">
        <v>491</v>
      </c>
    </row>
    <row r="3" spans="2:15" ht="12.75">
      <c r="B3" s="1352" t="s">
        <v>436</v>
      </c>
      <c r="C3" s="1355" t="s">
        <v>481</v>
      </c>
      <c r="D3" s="1355" t="s">
        <v>483</v>
      </c>
      <c r="E3" s="1355" t="s">
        <v>484</v>
      </c>
      <c r="F3" s="1355" t="s">
        <v>485</v>
      </c>
      <c r="G3" s="1355" t="s">
        <v>482</v>
      </c>
      <c r="H3" s="1355" t="s">
        <v>486</v>
      </c>
      <c r="I3" s="1355"/>
      <c r="J3" s="1355" t="s">
        <v>481</v>
      </c>
      <c r="K3" s="1355" t="s">
        <v>487</v>
      </c>
      <c r="L3" s="1355" t="s">
        <v>149</v>
      </c>
      <c r="M3" s="1355" t="s">
        <v>226</v>
      </c>
      <c r="N3" s="1355" t="s">
        <v>482</v>
      </c>
      <c r="O3" s="1355" t="s">
        <v>488</v>
      </c>
    </row>
    <row r="4" spans="2:15" ht="12.75">
      <c r="B4" t="s">
        <v>7</v>
      </c>
      <c r="C4" s="1352">
        <v>867</v>
      </c>
      <c r="D4" s="1360">
        <v>1028</v>
      </c>
      <c r="E4" s="1352">
        <v>922</v>
      </c>
      <c r="F4" s="1360">
        <v>1247</v>
      </c>
      <c r="G4" s="1352">
        <v>970</v>
      </c>
      <c r="H4" s="1352">
        <v>982</v>
      </c>
      <c r="I4" s="1352"/>
      <c r="J4" s="1352">
        <v>867</v>
      </c>
      <c r="K4" s="1360">
        <v>1895</v>
      </c>
      <c r="L4" s="1360">
        <v>2817</v>
      </c>
      <c r="M4" s="1360">
        <v>4064</v>
      </c>
      <c r="N4" s="1352">
        <v>970</v>
      </c>
      <c r="O4" s="1360">
        <v>1952</v>
      </c>
    </row>
    <row r="5" spans="2:15" ht="12.75">
      <c r="B5" t="s">
        <v>397</v>
      </c>
      <c r="C5" s="1352">
        <v>628</v>
      </c>
      <c r="D5" s="1352">
        <v>746</v>
      </c>
      <c r="E5" s="1352">
        <v>610</v>
      </c>
      <c r="F5" s="1352">
        <v>736</v>
      </c>
      <c r="G5" s="1352">
        <v>684</v>
      </c>
      <c r="H5" s="1352">
        <v>673</v>
      </c>
      <c r="I5" s="1352"/>
      <c r="J5" s="1352">
        <v>628</v>
      </c>
      <c r="K5" s="1360">
        <v>1374</v>
      </c>
      <c r="L5" s="1360">
        <v>1984</v>
      </c>
      <c r="M5" s="1360">
        <v>2720</v>
      </c>
      <c r="N5" s="1352">
        <v>684</v>
      </c>
      <c r="O5" s="1360">
        <v>1357</v>
      </c>
    </row>
    <row r="6" spans="2:15" ht="12.75">
      <c r="B6" t="s">
        <v>401</v>
      </c>
      <c r="C6" s="1352">
        <v>215</v>
      </c>
      <c r="D6" s="1352">
        <v>241</v>
      </c>
      <c r="E6" s="1352">
        <v>268</v>
      </c>
      <c r="F6" s="1352">
        <v>415</v>
      </c>
      <c r="G6" s="1352">
        <v>256</v>
      </c>
      <c r="H6" s="1352">
        <v>258</v>
      </c>
      <c r="I6" s="1352"/>
      <c r="J6" s="1352">
        <v>215</v>
      </c>
      <c r="K6" s="1352">
        <v>456</v>
      </c>
      <c r="L6" s="1352">
        <v>724</v>
      </c>
      <c r="M6" s="1360">
        <v>1139</v>
      </c>
      <c r="N6" s="1352">
        <v>256</v>
      </c>
      <c r="O6" s="1352">
        <v>514</v>
      </c>
    </row>
    <row r="7" spans="2:15" ht="12.75">
      <c r="B7" t="s">
        <v>404</v>
      </c>
      <c r="C7" s="1352">
        <v>110</v>
      </c>
      <c r="D7" s="1352">
        <v>81</v>
      </c>
      <c r="E7" s="1352">
        <v>78</v>
      </c>
      <c r="F7" s="1352">
        <v>89</v>
      </c>
      <c r="G7" s="1352">
        <v>100</v>
      </c>
      <c r="H7" s="1352">
        <v>89</v>
      </c>
      <c r="I7" s="1352"/>
      <c r="J7" s="1352">
        <v>110</v>
      </c>
      <c r="K7" s="1352">
        <v>191</v>
      </c>
      <c r="L7" s="1352">
        <v>269</v>
      </c>
      <c r="M7" s="1352">
        <v>358</v>
      </c>
      <c r="N7" s="1352">
        <v>100</v>
      </c>
      <c r="O7" s="1352">
        <v>189</v>
      </c>
    </row>
    <row r="8" spans="2:15" ht="12.75">
      <c r="B8" t="s">
        <v>466</v>
      </c>
      <c r="C8" s="1352">
        <v>108</v>
      </c>
      <c r="D8" s="1352">
        <v>78</v>
      </c>
      <c r="E8" s="1352">
        <v>76</v>
      </c>
      <c r="F8" s="1352">
        <v>82</v>
      </c>
      <c r="G8" s="1352">
        <v>97</v>
      </c>
      <c r="H8" s="1352">
        <v>84</v>
      </c>
      <c r="I8" s="1352"/>
      <c r="J8" s="1352">
        <v>108</v>
      </c>
      <c r="K8" s="1352">
        <v>186</v>
      </c>
      <c r="L8" s="1352">
        <v>262</v>
      </c>
      <c r="M8" s="1352">
        <v>344</v>
      </c>
      <c r="N8" s="1352">
        <v>97</v>
      </c>
      <c r="O8" s="1352">
        <v>181</v>
      </c>
    </row>
    <row r="9" spans="2:15" ht="12.75">
      <c r="B9" t="s">
        <v>489</v>
      </c>
      <c r="C9" s="1352">
        <v>116</v>
      </c>
      <c r="D9" s="1352">
        <v>155</v>
      </c>
      <c r="E9" s="1352">
        <v>171</v>
      </c>
      <c r="F9" s="1352">
        <v>423</v>
      </c>
      <c r="G9" s="1352">
        <v>139</v>
      </c>
      <c r="H9" s="1352">
        <v>685</v>
      </c>
      <c r="I9" s="1352"/>
      <c r="J9" s="1352">
        <v>116</v>
      </c>
      <c r="K9" s="1352">
        <v>271</v>
      </c>
      <c r="L9" s="1352">
        <v>442</v>
      </c>
      <c r="M9" s="1352">
        <v>865</v>
      </c>
      <c r="N9" s="1352">
        <v>139</v>
      </c>
      <c r="O9" s="1352">
        <v>824</v>
      </c>
    </row>
    <row r="10" spans="2:15" ht="12.75">
      <c r="B10" t="s">
        <v>408</v>
      </c>
      <c r="C10" s="1352">
        <v>30</v>
      </c>
      <c r="D10" s="1352">
        <v>16</v>
      </c>
      <c r="E10" s="1352">
        <v>8</v>
      </c>
      <c r="F10" s="1352">
        <v>15</v>
      </c>
      <c r="G10" s="1352">
        <v>18</v>
      </c>
      <c r="H10" s="1352">
        <v>9</v>
      </c>
      <c r="I10" s="1352"/>
      <c r="J10" s="1352">
        <v>30</v>
      </c>
      <c r="K10" s="1352">
        <v>46</v>
      </c>
      <c r="L10" s="1352">
        <v>54</v>
      </c>
      <c r="M10" s="1352">
        <v>69</v>
      </c>
      <c r="N10" s="1352">
        <v>18</v>
      </c>
      <c r="O10" s="1352">
        <v>27</v>
      </c>
    </row>
    <row r="11" spans="2:15" ht="12.75">
      <c r="B11" t="s">
        <v>9</v>
      </c>
      <c r="C11" s="1352">
        <v>2</v>
      </c>
      <c r="D11" s="1352">
        <v>3</v>
      </c>
      <c r="E11" s="1352">
        <v>2</v>
      </c>
      <c r="F11" s="1352">
        <v>1</v>
      </c>
      <c r="G11" s="1352">
        <v>1</v>
      </c>
      <c r="H11" s="1352">
        <v>0</v>
      </c>
      <c r="I11" s="1352"/>
      <c r="J11" s="1352">
        <v>2</v>
      </c>
      <c r="K11" s="1352">
        <v>5</v>
      </c>
      <c r="L11" s="1352">
        <v>7</v>
      </c>
      <c r="M11" s="1352">
        <v>8</v>
      </c>
      <c r="N11" s="1352">
        <v>1</v>
      </c>
      <c r="O11" s="1352">
        <v>1</v>
      </c>
    </row>
    <row r="12" spans="2:15" ht="12.75">
      <c r="B12" t="s">
        <v>490</v>
      </c>
      <c r="C12" s="1352">
        <v>3</v>
      </c>
      <c r="D12" s="1352">
        <v>1</v>
      </c>
      <c r="E12" s="1352">
        <v>2</v>
      </c>
      <c r="F12" s="1352">
        <v>0</v>
      </c>
      <c r="G12" s="1352">
        <v>0</v>
      </c>
      <c r="H12" s="1352">
        <v>-37</v>
      </c>
      <c r="I12" s="1352"/>
      <c r="J12" s="1352">
        <v>3</v>
      </c>
      <c r="K12" s="1352">
        <v>4</v>
      </c>
      <c r="L12" s="1352">
        <v>6</v>
      </c>
      <c r="M12" s="1352">
        <v>6</v>
      </c>
      <c r="N12" s="1352">
        <v>0</v>
      </c>
      <c r="O12" s="1352">
        <v>-37</v>
      </c>
    </row>
    <row r="13" spans="2:15" ht="12.75">
      <c r="B13" s="1354" t="s">
        <v>10</v>
      </c>
      <c r="C13" s="1357">
        <v>1128</v>
      </c>
      <c r="D13" s="1357">
        <v>1284</v>
      </c>
      <c r="E13" s="1357">
        <v>1183</v>
      </c>
      <c r="F13" s="1357">
        <v>1775</v>
      </c>
      <c r="G13" s="1357">
        <v>1228</v>
      </c>
      <c r="H13" s="1357">
        <v>1728</v>
      </c>
      <c r="I13" s="1357"/>
      <c r="J13" s="1357">
        <v>1128</v>
      </c>
      <c r="K13" s="1357">
        <v>2412</v>
      </c>
      <c r="L13" s="1357">
        <v>3595</v>
      </c>
      <c r="M13" s="1357">
        <v>5370</v>
      </c>
      <c r="N13" s="1357">
        <v>1228</v>
      </c>
      <c r="O13" s="1357">
        <v>2956</v>
      </c>
    </row>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5">
    <tabColor indexed="46"/>
  </sheetPr>
  <dimension ref="B2:D21"/>
  <sheetViews>
    <sheetView workbookViewId="0" topLeftCell="A1">
      <selection activeCell="J56" sqref="J55:J56"/>
    </sheetView>
  </sheetViews>
  <sheetFormatPr defaultColWidth="9.140625" defaultRowHeight="12.75"/>
  <cols>
    <col min="2" max="2" width="38.00390625" style="0" bestFit="1" customWidth="1"/>
  </cols>
  <sheetData>
    <row r="2" spans="2:4" ht="12.75">
      <c r="B2" s="1358"/>
      <c r="D2" s="1358"/>
    </row>
    <row r="3" spans="2:4" ht="12.75">
      <c r="B3" s="1358"/>
      <c r="C3" s="1358"/>
      <c r="D3" s="1358"/>
    </row>
    <row r="4" spans="2:4" ht="12.75">
      <c r="B4" s="1358"/>
      <c r="C4" s="1358"/>
      <c r="D4" s="1358"/>
    </row>
    <row r="5" spans="3:4" ht="12.75">
      <c r="C5" s="1358"/>
      <c r="D5" s="1358"/>
    </row>
    <row r="6" ht="12.75">
      <c r="B6" s="1358"/>
    </row>
    <row r="7" spans="2:4" ht="12.75">
      <c r="B7" s="1358"/>
      <c r="C7" s="1358"/>
      <c r="D7" s="1358"/>
    </row>
    <row r="8" spans="3:4" ht="12.75">
      <c r="C8" s="1358"/>
      <c r="D8" s="1358"/>
    </row>
    <row r="10" spans="3:4" ht="12.75">
      <c r="C10" s="1358"/>
      <c r="D10" s="1358"/>
    </row>
    <row r="11" spans="3:4" ht="12.75">
      <c r="C11" s="1358"/>
      <c r="D11" s="1358"/>
    </row>
    <row r="12" spans="3:4" ht="12.75">
      <c r="C12" s="1358"/>
      <c r="D12" s="1358"/>
    </row>
    <row r="13" ht="12.75">
      <c r="B13" s="1358"/>
    </row>
    <row r="14" spans="3:4" ht="12.75">
      <c r="C14" s="1358"/>
      <c r="D14" s="1358"/>
    </row>
    <row r="15" ht="12.75">
      <c r="D15" s="1358"/>
    </row>
    <row r="16" spans="2:4" ht="12.75">
      <c r="B16" s="1358"/>
      <c r="D16" s="1358"/>
    </row>
    <row r="17" spans="3:4" ht="12.75">
      <c r="C17" s="1358"/>
      <c r="D17" s="1358"/>
    </row>
    <row r="18" spans="3:4" ht="12.75">
      <c r="C18" s="1358"/>
      <c r="D18" s="1358"/>
    </row>
    <row r="19" spans="3:4" ht="12.75">
      <c r="C19" s="1358"/>
      <c r="D19" s="1358"/>
    </row>
    <row r="20" ht="12.75">
      <c r="B20" s="1358"/>
    </row>
    <row r="21" spans="2:4" ht="12.75">
      <c r="B21" s="1358"/>
      <c r="C21" s="1358"/>
      <c r="D21" s="1358"/>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6">
    <tabColor indexed="46"/>
  </sheetPr>
  <dimension ref="B2:F29"/>
  <sheetViews>
    <sheetView workbookViewId="0" topLeftCell="A1">
      <selection activeCell="J56" sqref="J55:J56"/>
    </sheetView>
  </sheetViews>
  <sheetFormatPr defaultColWidth="9.140625" defaultRowHeight="12.75"/>
  <cols>
    <col min="2" max="2" width="50.421875" style="0" bestFit="1" customWidth="1"/>
    <col min="3" max="3" width="18.7109375" style="1352" customWidth="1"/>
    <col min="4" max="4" width="9.140625" style="1352" customWidth="1"/>
  </cols>
  <sheetData>
    <row r="2" spans="2:4" ht="12.75">
      <c r="B2" s="1354" t="s">
        <v>436</v>
      </c>
      <c r="C2" s="1355" t="s">
        <v>434</v>
      </c>
      <c r="D2" s="1355" t="s">
        <v>148</v>
      </c>
    </row>
    <row r="3" spans="2:6" ht="12.75">
      <c r="B3" s="1354" t="s">
        <v>438</v>
      </c>
      <c r="C3" s="1355">
        <v>14.838</v>
      </c>
      <c r="D3" s="1352">
        <v>15.337</v>
      </c>
      <c r="F3" s="7"/>
    </row>
    <row r="4" spans="2:6" ht="12.75">
      <c r="B4" s="1354" t="s">
        <v>439</v>
      </c>
      <c r="C4" s="1355">
        <v>5.535</v>
      </c>
      <c r="D4" s="1352">
        <v>6.335</v>
      </c>
      <c r="F4" s="8"/>
    </row>
    <row r="5" spans="2:6" ht="12.75">
      <c r="B5" s="1354" t="s">
        <v>454</v>
      </c>
      <c r="C5" s="1355" t="s">
        <v>440</v>
      </c>
      <c r="D5" s="1352" t="s">
        <v>441</v>
      </c>
      <c r="F5" s="7"/>
    </row>
    <row r="6" spans="2:6" ht="12.75">
      <c r="B6" s="1354" t="s">
        <v>442</v>
      </c>
      <c r="C6" s="1355">
        <v>2.608</v>
      </c>
      <c r="D6" s="1352">
        <v>3.554</v>
      </c>
      <c r="F6" s="9"/>
    </row>
    <row r="7" spans="2:6" ht="12.75">
      <c r="B7" s="1354" t="s">
        <v>455</v>
      </c>
      <c r="C7" s="1355" t="s">
        <v>443</v>
      </c>
      <c r="D7" s="1352" t="s">
        <v>444</v>
      </c>
      <c r="F7" s="9"/>
    </row>
    <row r="8" spans="2:6" ht="12.75">
      <c r="B8" t="s">
        <v>456</v>
      </c>
      <c r="C8" s="1352">
        <v>1.429</v>
      </c>
      <c r="D8" s="1352">
        <v>2.643</v>
      </c>
      <c r="F8" s="9"/>
    </row>
    <row r="9" spans="2:6" ht="12.75">
      <c r="B9" t="s">
        <v>457</v>
      </c>
      <c r="C9" s="1352">
        <v>1.256</v>
      </c>
      <c r="D9" s="1352">
        <v>1.625</v>
      </c>
      <c r="F9" s="9"/>
    </row>
    <row r="10" spans="2:6" ht="12.75">
      <c r="B10" t="s">
        <v>458</v>
      </c>
      <c r="C10" s="1352">
        <v>-148</v>
      </c>
      <c r="D10" s="1352">
        <v>-123</v>
      </c>
      <c r="F10" s="7"/>
    </row>
    <row r="11" spans="2:6" ht="12.75">
      <c r="B11" s="1354" t="s">
        <v>76</v>
      </c>
      <c r="C11" s="1355">
        <v>1.108</v>
      </c>
      <c r="D11" s="1355">
        <v>1.502</v>
      </c>
      <c r="F11" s="10"/>
    </row>
    <row r="12" spans="2:6" ht="12.75">
      <c r="B12" s="1354" t="s">
        <v>78</v>
      </c>
      <c r="C12" s="1356">
        <v>1.14</v>
      </c>
      <c r="D12" s="1356">
        <v>1.5</v>
      </c>
      <c r="F12" s="11"/>
    </row>
    <row r="13" spans="2:6" ht="12.75">
      <c r="B13" t="s">
        <v>459</v>
      </c>
      <c r="C13" s="1352">
        <v>12.259</v>
      </c>
      <c r="D13" s="1352">
        <v>11.414</v>
      </c>
      <c r="F13" s="9"/>
    </row>
    <row r="14" spans="2:6" ht="12.75">
      <c r="B14" t="s">
        <v>445</v>
      </c>
      <c r="C14" s="1352">
        <v>9.303</v>
      </c>
      <c r="D14" s="1352">
        <v>9.002</v>
      </c>
      <c r="F14" s="8"/>
    </row>
    <row r="15" spans="2:6" ht="12.75">
      <c r="B15" t="s">
        <v>460</v>
      </c>
      <c r="C15" s="1352">
        <v>2.956</v>
      </c>
      <c r="D15" s="1352">
        <v>2.412</v>
      </c>
      <c r="F15" s="7"/>
    </row>
    <row r="16" spans="2:6" ht="12.75">
      <c r="B16" t="s">
        <v>446</v>
      </c>
      <c r="C16" s="1352" t="s">
        <v>447</v>
      </c>
      <c r="D16" s="1352" t="s">
        <v>448</v>
      </c>
      <c r="F16" s="10"/>
    </row>
    <row r="17" spans="2:6" ht="12.75">
      <c r="B17" t="s">
        <v>461</v>
      </c>
      <c r="C17" s="1352">
        <v>1.583</v>
      </c>
      <c r="D17" s="1352">
        <v>2.872</v>
      </c>
      <c r="F17" s="9"/>
    </row>
    <row r="18" spans="2:6" ht="12.75">
      <c r="B18" t="s">
        <v>449</v>
      </c>
      <c r="C18" s="1352" t="s">
        <v>450</v>
      </c>
      <c r="D18" s="1352" t="s">
        <v>451</v>
      </c>
      <c r="F18" s="9"/>
    </row>
    <row r="19" spans="2:6" ht="12.75">
      <c r="B19" t="s">
        <v>462</v>
      </c>
      <c r="C19" s="1352">
        <v>37.172</v>
      </c>
      <c r="D19" s="1352">
        <v>39.175</v>
      </c>
      <c r="F19" s="7"/>
    </row>
    <row r="20" spans="2:6" ht="12.75">
      <c r="B20" t="s">
        <v>463</v>
      </c>
      <c r="C20" s="1352">
        <v>36.379</v>
      </c>
      <c r="D20" s="1352">
        <v>38.594</v>
      </c>
      <c r="F20" s="9"/>
    </row>
    <row r="21" spans="2:6" ht="12.75">
      <c r="B21" t="s">
        <v>437</v>
      </c>
      <c r="F21" s="9"/>
    </row>
    <row r="22" spans="2:6" ht="12.75">
      <c r="B22" t="s">
        <v>464</v>
      </c>
      <c r="C22" s="1353">
        <v>81.8</v>
      </c>
      <c r="D22" s="1352">
        <v>83.812</v>
      </c>
      <c r="F22" s="9"/>
    </row>
    <row r="23" spans="2:6" ht="12.75">
      <c r="B23" t="s">
        <v>465</v>
      </c>
      <c r="C23" s="1352">
        <v>80.508</v>
      </c>
      <c r="D23" s="1352">
        <v>82.414</v>
      </c>
      <c r="F23" s="7"/>
    </row>
    <row r="24" ht="12.75">
      <c r="F24" s="12"/>
    </row>
    <row r="25" ht="12.75">
      <c r="F25" s="13"/>
    </row>
    <row r="26" ht="12.75">
      <c r="F26" s="12"/>
    </row>
    <row r="27" ht="12.75">
      <c r="F27" s="8"/>
    </row>
    <row r="28" ht="12.75">
      <c r="F28" s="14"/>
    </row>
    <row r="29" ht="12.75">
      <c r="F29" s="12"/>
    </row>
  </sheetData>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Foglio6">
    <tabColor indexed="10"/>
  </sheetPr>
  <dimension ref="A2:FN283"/>
  <sheetViews>
    <sheetView showGridLines="0" view="pageBreakPreview" zoomScale="40" zoomScaleNormal="55" zoomScaleSheetLayoutView="40" workbookViewId="0" topLeftCell="A6">
      <selection activeCell="D85" sqref="D85"/>
    </sheetView>
  </sheetViews>
  <sheetFormatPr defaultColWidth="9.140625" defaultRowHeight="12.75"/>
  <cols>
    <col min="1" max="1" width="5.00390625" style="88" customWidth="1"/>
    <col min="2" max="2" width="3.140625" style="88" customWidth="1"/>
    <col min="3" max="3" width="1.1484375" style="88" customWidth="1"/>
    <col min="4" max="4" width="26.7109375" style="88" customWidth="1"/>
    <col min="5" max="5" width="13.57421875" style="88" bestFit="1" customWidth="1"/>
    <col min="6" max="6" width="1.1484375" style="97" customWidth="1"/>
    <col min="7" max="7" width="16.7109375" style="97" customWidth="1"/>
    <col min="8" max="8" width="16.140625" style="97" customWidth="1"/>
    <col min="9" max="9" width="15.57421875" style="616" customWidth="1"/>
    <col min="10" max="10" width="1.1484375" style="91" customWidth="1"/>
    <col min="11" max="11" width="15.57421875" style="97" customWidth="1"/>
    <col min="12" max="12" width="1.1484375" style="97" customWidth="1"/>
    <col min="13" max="13" width="10.140625" style="97" bestFit="1" customWidth="1"/>
    <col min="14" max="14" width="1.1484375" style="97" customWidth="1"/>
    <col min="15" max="15" width="18.28125" style="97" customWidth="1"/>
    <col min="16" max="16" width="1.7109375" style="97" customWidth="1"/>
    <col min="17" max="17" width="22.00390625" style="97" customWidth="1"/>
    <col min="18" max="18" width="13.8515625" style="97" bestFit="1" customWidth="1"/>
    <col min="19" max="19" width="1.1484375" style="97" customWidth="1"/>
    <col min="20" max="20" width="18.140625" style="97" customWidth="1"/>
    <col min="21" max="21" width="1.1484375" style="97" customWidth="1"/>
    <col min="22" max="22" width="20.140625" style="97" customWidth="1"/>
    <col min="23" max="23" width="2.57421875" style="97" customWidth="1"/>
    <col min="24" max="24" width="14.00390625" style="97" customWidth="1"/>
    <col min="25" max="25" width="3.140625" style="97" customWidth="1"/>
    <col min="26" max="26" width="14.00390625" style="97" customWidth="1"/>
    <col min="27" max="27" width="3.140625" style="97" customWidth="1"/>
    <col min="28" max="28" width="16.7109375" style="97" customWidth="1"/>
    <col min="29" max="29" width="2.28125" style="88" customWidth="1"/>
    <col min="30" max="30" width="3.140625" style="88" customWidth="1"/>
    <col min="31" max="31" width="33.28125" style="88" bestFit="1" customWidth="1"/>
    <col min="32" max="32" width="1.421875" style="88" customWidth="1"/>
    <col min="33" max="16384" width="9.140625" style="88" customWidth="1"/>
  </cols>
  <sheetData>
    <row r="2" spans="2:31" ht="39" customHeight="1">
      <c r="B2" s="1514" t="s">
        <v>361</v>
      </c>
      <c r="C2" s="1515"/>
      <c r="D2" s="1515"/>
      <c r="E2" s="1515"/>
      <c r="F2" s="1515"/>
      <c r="G2" s="1515"/>
      <c r="H2" s="1515"/>
      <c r="I2" s="1515"/>
      <c r="J2" s="1515"/>
      <c r="K2" s="1515"/>
      <c r="L2" s="1515"/>
      <c r="M2" s="1515"/>
      <c r="N2" s="1515"/>
      <c r="O2" s="1515"/>
      <c r="P2" s="1515"/>
      <c r="Q2" s="1515"/>
      <c r="R2" s="1515"/>
      <c r="S2" s="1515"/>
      <c r="T2" s="1515"/>
      <c r="U2" s="1515"/>
      <c r="V2" s="1515"/>
      <c r="W2" s="1515"/>
      <c r="X2" s="1515"/>
      <c r="Y2" s="1515"/>
      <c r="Z2" s="1515"/>
      <c r="AA2" s="1515"/>
      <c r="AB2" s="1515"/>
      <c r="AC2" s="1516"/>
      <c r="AD2" s="87"/>
      <c r="AE2" s="456"/>
    </row>
    <row r="3" spans="2:31" ht="18.75" customHeight="1" thickBot="1">
      <c r="B3" s="248"/>
      <c r="C3" s="249"/>
      <c r="D3" s="249"/>
      <c r="E3" s="249"/>
      <c r="F3" s="249"/>
      <c r="G3" s="249"/>
      <c r="H3" s="249"/>
      <c r="I3" s="538"/>
      <c r="J3" s="249"/>
      <c r="K3" s="249"/>
      <c r="L3" s="249"/>
      <c r="M3" s="249"/>
      <c r="N3" s="249"/>
      <c r="O3" s="249"/>
      <c r="P3" s="249"/>
      <c r="Q3" s="249"/>
      <c r="R3" s="249"/>
      <c r="S3" s="249"/>
      <c r="T3" s="249"/>
      <c r="U3" s="249"/>
      <c r="V3" s="249"/>
      <c r="W3" s="249"/>
      <c r="X3" s="249"/>
      <c r="Y3" s="249"/>
      <c r="Z3" s="249"/>
      <c r="AA3" s="249"/>
      <c r="AB3" s="249"/>
      <c r="AC3" s="250"/>
      <c r="AD3" s="87"/>
      <c r="AE3" s="457"/>
    </row>
    <row r="4" spans="2:31" s="89" customFormat="1" ht="57" thickTop="1">
      <c r="B4" s="98"/>
      <c r="C4" s="240"/>
      <c r="D4" s="1487" t="s">
        <v>176</v>
      </c>
      <c r="E4" s="1470"/>
      <c r="F4" s="1470"/>
      <c r="G4" s="1470"/>
      <c r="H4" s="1470"/>
      <c r="I4" s="1470"/>
      <c r="J4" s="1470"/>
      <c r="K4" s="1470"/>
      <c r="L4" s="1470"/>
      <c r="M4" s="1470"/>
      <c r="N4" s="1470"/>
      <c r="O4" s="1471"/>
      <c r="P4" s="236"/>
      <c r="Q4" s="1487" t="s">
        <v>6</v>
      </c>
      <c r="R4" s="1470"/>
      <c r="S4" s="1470"/>
      <c r="T4" s="1470"/>
      <c r="U4" s="1470"/>
      <c r="V4" s="1471"/>
      <c r="W4" s="236"/>
      <c r="X4" s="244" t="s">
        <v>183</v>
      </c>
      <c r="Y4" s="246"/>
      <c r="Z4" s="244" t="s">
        <v>184</v>
      </c>
      <c r="AA4" s="246"/>
      <c r="AB4" s="244" t="s">
        <v>185</v>
      </c>
      <c r="AC4" s="99"/>
      <c r="AE4" s="458"/>
    </row>
    <row r="5" spans="2:31" s="90" customFormat="1" ht="10.5" customHeight="1">
      <c r="B5" s="369"/>
      <c r="C5" s="370"/>
      <c r="D5" s="1472"/>
      <c r="E5" s="1473"/>
      <c r="F5" s="1473"/>
      <c r="G5" s="1473"/>
      <c r="H5" s="1473"/>
      <c r="I5" s="1473"/>
      <c r="J5" s="1473"/>
      <c r="K5" s="1473"/>
      <c r="L5" s="1473"/>
      <c r="M5" s="1473"/>
      <c r="N5" s="1473"/>
      <c r="O5" s="1513"/>
      <c r="P5" s="237"/>
      <c r="Q5" s="1483"/>
      <c r="R5" s="1484"/>
      <c r="S5" s="107"/>
      <c r="T5" s="108"/>
      <c r="U5" s="107"/>
      <c r="V5" s="238"/>
      <c r="W5" s="237"/>
      <c r="X5" s="241"/>
      <c r="Y5" s="237"/>
      <c r="Z5" s="241"/>
      <c r="AA5" s="237"/>
      <c r="AB5" s="241"/>
      <c r="AC5" s="371"/>
      <c r="AE5" s="458"/>
    </row>
    <row r="6" spans="2:31" ht="39.75">
      <c r="B6" s="185"/>
      <c r="C6" s="111"/>
      <c r="D6" s="1534" t="s">
        <v>332</v>
      </c>
      <c r="E6" s="1482"/>
      <c r="F6" s="239"/>
      <c r="G6" s="1480" t="s">
        <v>177</v>
      </c>
      <c r="H6" s="1481"/>
      <c r="I6" s="1482"/>
      <c r="J6" s="239"/>
      <c r="K6" s="259" t="s">
        <v>180</v>
      </c>
      <c r="L6" s="110"/>
      <c r="M6" s="259" t="s">
        <v>178</v>
      </c>
      <c r="N6" s="239"/>
      <c r="O6" s="260" t="s">
        <v>209</v>
      </c>
      <c r="P6" s="239"/>
      <c r="Q6" s="1534" t="s">
        <v>179</v>
      </c>
      <c r="R6" s="1482"/>
      <c r="S6" s="239"/>
      <c r="T6" s="257" t="s">
        <v>215</v>
      </c>
      <c r="U6" s="239"/>
      <c r="V6" s="261" t="s">
        <v>205</v>
      </c>
      <c r="W6" s="239"/>
      <c r="X6" s="841" t="s">
        <v>186</v>
      </c>
      <c r="Y6" s="239"/>
      <c r="Z6" s="841" t="s">
        <v>181</v>
      </c>
      <c r="AA6" s="239"/>
      <c r="AB6" s="841" t="s">
        <v>182</v>
      </c>
      <c r="AC6" s="202"/>
      <c r="AE6" s="30" t="s">
        <v>59</v>
      </c>
    </row>
    <row r="7" spans="2:31" s="91" customFormat="1" ht="12.75">
      <c r="B7" s="441"/>
      <c r="C7" s="100"/>
      <c r="D7" s="541" t="s">
        <v>11</v>
      </c>
      <c r="E7" s="263"/>
      <c r="F7" s="110"/>
      <c r="G7" s="1535" t="s">
        <v>175</v>
      </c>
      <c r="H7" s="1535" t="s">
        <v>174</v>
      </c>
      <c r="I7" s="1535" t="s">
        <v>211</v>
      </c>
      <c r="J7" s="110"/>
      <c r="K7" s="267"/>
      <c r="L7" s="110"/>
      <c r="M7" s="267"/>
      <c r="N7" s="110"/>
      <c r="O7" s="268"/>
      <c r="P7" s="110"/>
      <c r="Q7" s="541"/>
      <c r="R7" s="263"/>
      <c r="S7" s="110"/>
      <c r="T7" s="266"/>
      <c r="U7" s="110"/>
      <c r="V7" s="268"/>
      <c r="W7" s="110"/>
      <c r="X7" s="242"/>
      <c r="Y7" s="110"/>
      <c r="Z7" s="242"/>
      <c r="AA7" s="110"/>
      <c r="AB7" s="242"/>
      <c r="AC7" s="442"/>
      <c r="AE7" s="31" t="s">
        <v>56</v>
      </c>
    </row>
    <row r="8" spans="2:31" ht="12.75">
      <c r="B8" s="185"/>
      <c r="C8" s="111"/>
      <c r="D8" s="1519" t="s">
        <v>0</v>
      </c>
      <c r="E8" s="1520"/>
      <c r="F8" s="270"/>
      <c r="G8" s="1536"/>
      <c r="H8" s="1536"/>
      <c r="I8" s="1536"/>
      <c r="J8" s="234"/>
      <c r="K8" s="269"/>
      <c r="L8" s="270"/>
      <c r="M8" s="269"/>
      <c r="N8" s="270"/>
      <c r="O8" s="271"/>
      <c r="P8" s="234"/>
      <c r="Q8" s="1519" t="s">
        <v>0</v>
      </c>
      <c r="R8" s="1520"/>
      <c r="S8" s="234"/>
      <c r="T8" s="269"/>
      <c r="U8" s="234"/>
      <c r="V8" s="271"/>
      <c r="W8" s="234"/>
      <c r="X8" s="243"/>
      <c r="Y8" s="234"/>
      <c r="Z8" s="243"/>
      <c r="AA8" s="234"/>
      <c r="AB8" s="243"/>
      <c r="AC8" s="202"/>
      <c r="AE8" s="139" t="s">
        <v>206</v>
      </c>
    </row>
    <row r="9" spans="2:31" s="92" customFormat="1" ht="12.75">
      <c r="B9" s="372"/>
      <c r="C9" s="103"/>
      <c r="D9" s="542" t="s">
        <v>7</v>
      </c>
      <c r="E9" s="543">
        <v>6297</v>
      </c>
      <c r="F9" s="544"/>
      <c r="G9" s="544">
        <v>-3</v>
      </c>
      <c r="H9" s="544">
        <v>-5</v>
      </c>
      <c r="I9" s="545"/>
      <c r="J9" s="552"/>
      <c r="K9" s="546">
        <v>6289</v>
      </c>
      <c r="L9" s="544"/>
      <c r="M9" s="544">
        <v>119</v>
      </c>
      <c r="N9" s="544"/>
      <c r="O9" s="547">
        <v>6170</v>
      </c>
      <c r="P9" s="548"/>
      <c r="Q9" s="542" t="s">
        <v>7</v>
      </c>
      <c r="R9" s="543">
        <v>6009</v>
      </c>
      <c r="S9" s="548"/>
      <c r="T9" s="546"/>
      <c r="U9" s="548"/>
      <c r="V9" s="822">
        <v>6009</v>
      </c>
      <c r="W9" s="548"/>
      <c r="X9" s="549">
        <v>-0.04573606479275849</v>
      </c>
      <c r="Y9" s="548"/>
      <c r="Z9" s="549">
        <v>-0.0445221815868978</v>
      </c>
      <c r="AA9" s="548"/>
      <c r="AB9" s="549">
        <v>-0.026094003241491137</v>
      </c>
      <c r="AC9" s="373"/>
      <c r="AE9" s="139" t="s">
        <v>208</v>
      </c>
    </row>
    <row r="10" spans="2:31" s="92" customFormat="1" ht="12.75">
      <c r="B10" s="372"/>
      <c r="C10" s="103"/>
      <c r="D10" s="550" t="s">
        <v>145</v>
      </c>
      <c r="E10" s="551">
        <v>4286</v>
      </c>
      <c r="F10" s="552"/>
      <c r="G10" s="552">
        <v>-3</v>
      </c>
      <c r="H10" s="552">
        <v>-5</v>
      </c>
      <c r="I10" s="553"/>
      <c r="J10" s="552"/>
      <c r="K10" s="554">
        <v>4278</v>
      </c>
      <c r="L10" s="552"/>
      <c r="M10" s="552">
        <v>119</v>
      </c>
      <c r="N10" s="552"/>
      <c r="O10" s="555">
        <v>4159</v>
      </c>
      <c r="P10" s="548"/>
      <c r="Q10" s="550" t="s">
        <v>145</v>
      </c>
      <c r="R10" s="551">
        <v>3989</v>
      </c>
      <c r="S10" s="548"/>
      <c r="T10" s="554"/>
      <c r="U10" s="548"/>
      <c r="V10" s="823">
        <v>3989</v>
      </c>
      <c r="W10" s="548"/>
      <c r="X10" s="556">
        <v>-0.06929538030797944</v>
      </c>
      <c r="Y10" s="548"/>
      <c r="Z10" s="556">
        <v>-0.0675549322113137</v>
      </c>
      <c r="AA10" s="548"/>
      <c r="AB10" s="556">
        <v>-0.04087521038711228</v>
      </c>
      <c r="AC10" s="373"/>
      <c r="AE10" s="139" t="s">
        <v>207</v>
      </c>
    </row>
    <row r="11" spans="2:31" s="92" customFormat="1" ht="12.75">
      <c r="B11" s="372"/>
      <c r="C11" s="103"/>
      <c r="D11" s="550" t="s">
        <v>130</v>
      </c>
      <c r="E11" s="551">
        <v>2370</v>
      </c>
      <c r="F11" s="552"/>
      <c r="G11" s="552"/>
      <c r="H11" s="552"/>
      <c r="I11" s="553"/>
      <c r="J11" s="552"/>
      <c r="K11" s="554">
        <v>2370</v>
      </c>
      <c r="L11" s="552"/>
      <c r="M11" s="552"/>
      <c r="N11" s="552"/>
      <c r="O11" s="555"/>
      <c r="P11" s="548"/>
      <c r="Q11" s="550" t="s">
        <v>130</v>
      </c>
      <c r="R11" s="551">
        <v>2365</v>
      </c>
      <c r="S11" s="548"/>
      <c r="T11" s="554"/>
      <c r="U11" s="548"/>
      <c r="V11" s="823">
        <v>2365</v>
      </c>
      <c r="W11" s="548"/>
      <c r="X11" s="556">
        <v>-0.002109704641350185</v>
      </c>
      <c r="Y11" s="548"/>
      <c r="Z11" s="556">
        <v>-0.002109704641350185</v>
      </c>
      <c r="AA11" s="548"/>
      <c r="AB11" s="556"/>
      <c r="AC11" s="373"/>
      <c r="AE11" s="139" t="s">
        <v>223</v>
      </c>
    </row>
    <row r="12" spans="2:31" s="92" customFormat="1" ht="12.75">
      <c r="B12" s="372"/>
      <c r="C12" s="103"/>
      <c r="D12" s="557" t="s">
        <v>8</v>
      </c>
      <c r="E12" s="558">
        <v>204</v>
      </c>
      <c r="F12" s="552"/>
      <c r="G12" s="552">
        <v>38</v>
      </c>
      <c r="H12" s="552"/>
      <c r="I12" s="559"/>
      <c r="J12" s="552"/>
      <c r="K12" s="554">
        <v>242</v>
      </c>
      <c r="L12" s="552"/>
      <c r="M12" s="552"/>
      <c r="N12" s="552"/>
      <c r="O12" s="555"/>
      <c r="P12" s="548"/>
      <c r="Q12" s="557" t="s">
        <v>8</v>
      </c>
      <c r="R12" s="558">
        <v>304</v>
      </c>
      <c r="S12" s="548"/>
      <c r="T12" s="560"/>
      <c r="U12" s="548"/>
      <c r="V12" s="823">
        <v>304</v>
      </c>
      <c r="W12" s="548"/>
      <c r="X12" s="556">
        <v>0.4901960784313726</v>
      </c>
      <c r="Y12" s="548"/>
      <c r="Z12" s="556">
        <v>0.25619834710743805</v>
      </c>
      <c r="AA12" s="548"/>
      <c r="AB12" s="556"/>
      <c r="AC12" s="374"/>
      <c r="AE12" s="139" t="s">
        <v>225</v>
      </c>
    </row>
    <row r="13" spans="2:31" s="92" customFormat="1" ht="12.75">
      <c r="B13" s="372"/>
      <c r="C13" s="103"/>
      <c r="D13" s="557" t="s">
        <v>31</v>
      </c>
      <c r="E13" s="558">
        <v>837</v>
      </c>
      <c r="F13" s="552"/>
      <c r="G13" s="552"/>
      <c r="H13" s="552">
        <v>-50</v>
      </c>
      <c r="I13" s="559"/>
      <c r="J13" s="552"/>
      <c r="K13" s="554">
        <v>787</v>
      </c>
      <c r="L13" s="552"/>
      <c r="M13" s="552"/>
      <c r="N13" s="552"/>
      <c r="O13" s="555"/>
      <c r="P13" s="548"/>
      <c r="Q13" s="557" t="s">
        <v>31</v>
      </c>
      <c r="R13" s="558">
        <v>1100</v>
      </c>
      <c r="S13" s="548"/>
      <c r="T13" s="560"/>
      <c r="U13" s="548"/>
      <c r="V13" s="823">
        <v>1100</v>
      </c>
      <c r="W13" s="548"/>
      <c r="X13" s="556">
        <v>0.31421744324970136</v>
      </c>
      <c r="Y13" s="548"/>
      <c r="Z13" s="556">
        <v>0.374</v>
      </c>
      <c r="AA13" s="548"/>
      <c r="AB13" s="556"/>
      <c r="AC13" s="374"/>
      <c r="AE13" s="139" t="s">
        <v>310</v>
      </c>
    </row>
    <row r="14" spans="2:31" s="92" customFormat="1" ht="12.75">
      <c r="B14" s="372"/>
      <c r="C14" s="103"/>
      <c r="D14" s="557" t="s">
        <v>89</v>
      </c>
      <c r="E14" s="558">
        <v>44</v>
      </c>
      <c r="F14" s="552"/>
      <c r="G14" s="552"/>
      <c r="H14" s="552"/>
      <c r="I14" s="559"/>
      <c r="J14" s="552"/>
      <c r="K14" s="554">
        <v>44</v>
      </c>
      <c r="L14" s="552"/>
      <c r="M14" s="552"/>
      <c r="N14" s="552"/>
      <c r="O14" s="555"/>
      <c r="P14" s="548"/>
      <c r="Q14" s="557" t="s">
        <v>89</v>
      </c>
      <c r="R14" s="558">
        <v>58</v>
      </c>
      <c r="S14" s="548"/>
      <c r="T14" s="560"/>
      <c r="U14" s="548"/>
      <c r="V14" s="823">
        <v>58</v>
      </c>
      <c r="W14" s="548"/>
      <c r="X14" s="556">
        <v>0.3181818181818181</v>
      </c>
      <c r="Y14" s="548"/>
      <c r="Z14" s="556">
        <v>0.3181818181818181</v>
      </c>
      <c r="AA14" s="548"/>
      <c r="AB14" s="556"/>
      <c r="AC14" s="374"/>
      <c r="AE14" s="139" t="s">
        <v>311</v>
      </c>
    </row>
    <row r="15" spans="2:31" s="92" customFormat="1" ht="12.75">
      <c r="B15" s="372"/>
      <c r="C15" s="103"/>
      <c r="D15" s="557" t="s">
        <v>9</v>
      </c>
      <c r="E15" s="558">
        <v>94</v>
      </c>
      <c r="F15" s="552"/>
      <c r="G15" s="552"/>
      <c r="H15" s="552">
        <v>-1</v>
      </c>
      <c r="I15" s="559"/>
      <c r="J15" s="552"/>
      <c r="K15" s="554">
        <v>93</v>
      </c>
      <c r="L15" s="552"/>
      <c r="M15" s="552"/>
      <c r="N15" s="552"/>
      <c r="O15" s="555"/>
      <c r="P15" s="548"/>
      <c r="Q15" s="557" t="s">
        <v>9</v>
      </c>
      <c r="R15" s="558">
        <v>83</v>
      </c>
      <c r="S15" s="548"/>
      <c r="T15" s="560"/>
      <c r="U15" s="548"/>
      <c r="V15" s="823">
        <v>83</v>
      </c>
      <c r="W15" s="548"/>
      <c r="X15" s="556">
        <v>-0.11702127659574468</v>
      </c>
      <c r="Y15" s="548"/>
      <c r="Z15" s="556">
        <v>-0.10752688172043012</v>
      </c>
      <c r="AA15" s="548"/>
      <c r="AB15" s="556"/>
      <c r="AC15" s="374"/>
      <c r="AE15" s="139" t="s">
        <v>12</v>
      </c>
    </row>
    <row r="16" spans="2:31" s="92" customFormat="1" ht="12.75">
      <c r="B16" s="372"/>
      <c r="C16" s="103"/>
      <c r="D16" s="557" t="s">
        <v>187</v>
      </c>
      <c r="E16" s="558">
        <v>64</v>
      </c>
      <c r="F16" s="552"/>
      <c r="G16" s="552"/>
      <c r="H16" s="552">
        <v>-5</v>
      </c>
      <c r="I16" s="559"/>
      <c r="J16" s="552"/>
      <c r="K16" s="554">
        <v>59</v>
      </c>
      <c r="L16" s="552"/>
      <c r="M16" s="552"/>
      <c r="N16" s="552"/>
      <c r="O16" s="555"/>
      <c r="P16" s="548"/>
      <c r="Q16" s="557" t="s">
        <v>187</v>
      </c>
      <c r="R16" s="558">
        <v>60</v>
      </c>
      <c r="S16" s="548"/>
      <c r="T16" s="560"/>
      <c r="U16" s="548"/>
      <c r="V16" s="823">
        <v>60</v>
      </c>
      <c r="W16" s="548"/>
      <c r="X16" s="556">
        <v>-0.0625</v>
      </c>
      <c r="Y16" s="548"/>
      <c r="Z16" s="556">
        <v>0.016949152542372836</v>
      </c>
      <c r="AA16" s="548"/>
      <c r="AB16" s="556"/>
      <c r="AC16" s="374"/>
      <c r="AE16" s="139" t="s">
        <v>220</v>
      </c>
    </row>
    <row r="17" spans="1:31" s="92" customFormat="1" ht="12.75">
      <c r="A17" s="93"/>
      <c r="B17" s="372"/>
      <c r="C17" s="103"/>
      <c r="D17" s="557" t="s">
        <v>188</v>
      </c>
      <c r="E17" s="561">
        <v>-58</v>
      </c>
      <c r="F17" s="552"/>
      <c r="G17" s="552">
        <v>1</v>
      </c>
      <c r="H17" s="552"/>
      <c r="I17" s="559"/>
      <c r="J17" s="552"/>
      <c r="K17" s="554">
        <v>-57</v>
      </c>
      <c r="L17" s="552"/>
      <c r="M17" s="552"/>
      <c r="N17" s="552"/>
      <c r="O17" s="555"/>
      <c r="P17" s="548"/>
      <c r="Q17" s="557" t="s">
        <v>188</v>
      </c>
      <c r="R17" s="561">
        <v>-74</v>
      </c>
      <c r="S17" s="548"/>
      <c r="T17" s="560"/>
      <c r="U17" s="548"/>
      <c r="V17" s="823">
        <v>-74</v>
      </c>
      <c r="W17" s="548"/>
      <c r="X17" s="556"/>
      <c r="Y17" s="548"/>
      <c r="Z17" s="556"/>
      <c r="AA17" s="548"/>
      <c r="AB17" s="556"/>
      <c r="AC17" s="374"/>
      <c r="AE17" s="139" t="s">
        <v>221</v>
      </c>
    </row>
    <row r="18" spans="1:31" s="92" customFormat="1" ht="13.5" thickBot="1">
      <c r="A18" s="93"/>
      <c r="B18" s="375"/>
      <c r="C18" s="103"/>
      <c r="D18" s="272" t="s">
        <v>10</v>
      </c>
      <c r="E18" s="273">
        <v>7482</v>
      </c>
      <c r="F18" s="562"/>
      <c r="G18" s="274">
        <v>36</v>
      </c>
      <c r="H18" s="275">
        <v>-61</v>
      </c>
      <c r="I18" s="563"/>
      <c r="J18" s="552"/>
      <c r="K18" s="274">
        <v>7457</v>
      </c>
      <c r="L18" s="552"/>
      <c r="M18" s="275">
        <v>119</v>
      </c>
      <c r="N18" s="552"/>
      <c r="O18" s="276">
        <v>7338</v>
      </c>
      <c r="P18" s="548"/>
      <c r="Q18" s="272" t="s">
        <v>10</v>
      </c>
      <c r="R18" s="273">
        <v>7540</v>
      </c>
      <c r="S18" s="548"/>
      <c r="T18" s="274"/>
      <c r="U18" s="548"/>
      <c r="V18" s="825">
        <v>7540</v>
      </c>
      <c r="W18" s="548"/>
      <c r="X18" s="277">
        <v>0.007751937984496138</v>
      </c>
      <c r="Y18" s="548"/>
      <c r="Z18" s="277">
        <v>0.01113048142684736</v>
      </c>
      <c r="AA18" s="548"/>
      <c r="AB18" s="278">
        <v>0.02752793676751164</v>
      </c>
      <c r="AC18" s="374"/>
      <c r="AE18" s="139" t="s">
        <v>222</v>
      </c>
    </row>
    <row r="19" spans="1:31" s="92" customFormat="1" ht="13.5" thickTop="1">
      <c r="A19" s="93"/>
      <c r="B19" s="375"/>
      <c r="C19" s="103"/>
      <c r="D19" s="564"/>
      <c r="E19" s="565"/>
      <c r="F19" s="548"/>
      <c r="G19" s="566"/>
      <c r="H19" s="566"/>
      <c r="I19" s="567"/>
      <c r="J19" s="548"/>
      <c r="K19" s="566"/>
      <c r="L19" s="111"/>
      <c r="M19" s="111"/>
      <c r="N19" s="100"/>
      <c r="O19" s="568"/>
      <c r="P19" s="100"/>
      <c r="Q19" s="564"/>
      <c r="R19" s="565"/>
      <c r="S19" s="548"/>
      <c r="T19" s="566"/>
      <c r="U19" s="548"/>
      <c r="V19" s="826"/>
      <c r="W19" s="100"/>
      <c r="X19" s="569"/>
      <c r="Y19" s="100"/>
      <c r="Z19" s="569"/>
      <c r="AA19" s="100"/>
      <c r="AB19" s="570"/>
      <c r="AC19" s="374"/>
      <c r="AE19" s="139" t="s">
        <v>8</v>
      </c>
    </row>
    <row r="20" spans="1:31" ht="12.75">
      <c r="A20" s="571"/>
      <c r="B20" s="185"/>
      <c r="C20" s="111"/>
      <c r="D20" s="258" t="s">
        <v>45</v>
      </c>
      <c r="E20" s="376"/>
      <c r="F20" s="234"/>
      <c r="G20" s="279"/>
      <c r="H20" s="279"/>
      <c r="I20" s="572"/>
      <c r="J20" s="234"/>
      <c r="K20" s="377"/>
      <c r="L20" s="234"/>
      <c r="M20" s="234"/>
      <c r="N20" s="234"/>
      <c r="O20" s="378"/>
      <c r="P20" s="234"/>
      <c r="Q20" s="258" t="s">
        <v>45</v>
      </c>
      <c r="R20" s="376"/>
      <c r="S20" s="234"/>
      <c r="T20" s="377"/>
      <c r="U20" s="234"/>
      <c r="V20" s="827"/>
      <c r="W20" s="234"/>
      <c r="X20" s="243"/>
      <c r="Y20" s="234"/>
      <c r="Z20" s="243"/>
      <c r="AA20" s="234"/>
      <c r="AB20" s="234"/>
      <c r="AC20" s="202"/>
      <c r="AE20" s="139" t="s">
        <v>161</v>
      </c>
    </row>
    <row r="21" spans="1:31" s="92" customFormat="1" ht="12.75">
      <c r="A21" s="93"/>
      <c r="B21" s="372"/>
      <c r="C21" s="103"/>
      <c r="D21" s="542" t="s">
        <v>7</v>
      </c>
      <c r="E21" s="543">
        <v>3148</v>
      </c>
      <c r="F21" s="573"/>
      <c r="G21" s="544">
        <v>-5</v>
      </c>
      <c r="H21" s="544">
        <v>-1</v>
      </c>
      <c r="I21" s="574">
        <v>30</v>
      </c>
      <c r="J21" s="548"/>
      <c r="K21" s="544">
        <v>3172</v>
      </c>
      <c r="L21" s="548"/>
      <c r="M21" s="548"/>
      <c r="N21" s="548"/>
      <c r="O21" s="575"/>
      <c r="P21" s="548"/>
      <c r="Q21" s="542" t="s">
        <v>7</v>
      </c>
      <c r="R21" s="543">
        <v>2853</v>
      </c>
      <c r="S21" s="548"/>
      <c r="T21" s="544">
        <v>36</v>
      </c>
      <c r="U21" s="548"/>
      <c r="V21" s="547">
        <v>2889</v>
      </c>
      <c r="W21" s="548"/>
      <c r="X21" s="549">
        <v>-0.09371029224904703</v>
      </c>
      <c r="Y21" s="548"/>
      <c r="Z21" s="549">
        <v>-0.08921815889029006</v>
      </c>
      <c r="AA21" s="548"/>
      <c r="AB21" s="548"/>
      <c r="AC21" s="373"/>
      <c r="AE21" s="139" t="s">
        <v>109</v>
      </c>
    </row>
    <row r="22" spans="1:31" s="92" customFormat="1" ht="12.75">
      <c r="A22" s="93"/>
      <c r="B22" s="372"/>
      <c r="C22" s="103"/>
      <c r="D22" s="557" t="s">
        <v>8</v>
      </c>
      <c r="E22" s="558">
        <v>2</v>
      </c>
      <c r="F22" s="548"/>
      <c r="G22" s="552">
        <v>6</v>
      </c>
      <c r="H22" s="552"/>
      <c r="I22" s="576"/>
      <c r="J22" s="548"/>
      <c r="K22" s="552">
        <v>8</v>
      </c>
      <c r="L22" s="548"/>
      <c r="M22" s="548"/>
      <c r="N22" s="548"/>
      <c r="O22" s="575"/>
      <c r="P22" s="548"/>
      <c r="Q22" s="557" t="s">
        <v>8</v>
      </c>
      <c r="R22" s="558">
        <v>30</v>
      </c>
      <c r="S22" s="548"/>
      <c r="T22" s="552"/>
      <c r="U22" s="548"/>
      <c r="V22" s="555">
        <v>30</v>
      </c>
      <c r="W22" s="548"/>
      <c r="X22" s="556"/>
      <c r="Y22" s="548"/>
      <c r="Z22" s="556">
        <v>2.75</v>
      </c>
      <c r="AA22" s="548"/>
      <c r="AB22" s="548"/>
      <c r="AC22" s="373"/>
      <c r="AE22" s="139" t="s">
        <v>157</v>
      </c>
    </row>
    <row r="23" spans="1:31" s="92" customFormat="1" ht="12.75">
      <c r="A23" s="93"/>
      <c r="B23" s="372"/>
      <c r="C23" s="103"/>
      <c r="D23" s="557" t="s">
        <v>31</v>
      </c>
      <c r="E23" s="558">
        <v>181</v>
      </c>
      <c r="F23" s="548"/>
      <c r="G23" s="577"/>
      <c r="H23" s="552">
        <v>-12</v>
      </c>
      <c r="I23" s="576">
        <v>9</v>
      </c>
      <c r="J23" s="548"/>
      <c r="K23" s="552">
        <v>178</v>
      </c>
      <c r="L23" s="548"/>
      <c r="M23" s="548"/>
      <c r="N23" s="548"/>
      <c r="O23" s="575"/>
      <c r="P23" s="548"/>
      <c r="Q23" s="557" t="s">
        <v>31</v>
      </c>
      <c r="R23" s="558">
        <v>269</v>
      </c>
      <c r="S23" s="548"/>
      <c r="T23" s="552"/>
      <c r="U23" s="548"/>
      <c r="V23" s="555">
        <v>269</v>
      </c>
      <c r="W23" s="548"/>
      <c r="X23" s="556">
        <v>0.4861878453038675</v>
      </c>
      <c r="Y23" s="548"/>
      <c r="Z23" s="556">
        <v>0.487</v>
      </c>
      <c r="AA23" s="548"/>
      <c r="AB23" s="548"/>
      <c r="AC23" s="373"/>
      <c r="AD23" s="886"/>
      <c r="AE23" s="674" t="s">
        <v>312</v>
      </c>
    </row>
    <row r="24" spans="1:170" s="92" customFormat="1" ht="12.75">
      <c r="A24" s="93"/>
      <c r="B24" s="372"/>
      <c r="C24" s="103"/>
      <c r="D24" s="557" t="s">
        <v>89</v>
      </c>
      <c r="E24" s="561">
        <v>-28</v>
      </c>
      <c r="F24" s="548"/>
      <c r="G24" s="577"/>
      <c r="H24" s="552"/>
      <c r="I24" s="576">
        <v>1</v>
      </c>
      <c r="J24" s="548"/>
      <c r="K24" s="552">
        <v>-27</v>
      </c>
      <c r="L24" s="379"/>
      <c r="M24" s="379"/>
      <c r="N24" s="379"/>
      <c r="O24" s="380"/>
      <c r="P24" s="379"/>
      <c r="Q24" s="557" t="s">
        <v>89</v>
      </c>
      <c r="R24" s="561">
        <v>-11</v>
      </c>
      <c r="S24" s="548"/>
      <c r="T24" s="552">
        <v>1</v>
      </c>
      <c r="U24" s="548"/>
      <c r="V24" s="555">
        <v>-10</v>
      </c>
      <c r="W24" s="379"/>
      <c r="X24" s="556">
        <v>0.6071428571428572</v>
      </c>
      <c r="Y24" s="379"/>
      <c r="Z24" s="556">
        <v>0.6296296296296297</v>
      </c>
      <c r="AA24" s="379"/>
      <c r="AB24" s="379"/>
      <c r="AC24" s="373"/>
      <c r="AD24" s="886"/>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row>
    <row r="25" spans="1:170" s="92" customFormat="1" ht="12.75">
      <c r="A25" s="93"/>
      <c r="B25" s="372"/>
      <c r="C25" s="103"/>
      <c r="D25" s="557" t="s">
        <v>9</v>
      </c>
      <c r="E25" s="561">
        <v>-12</v>
      </c>
      <c r="F25" s="548"/>
      <c r="G25" s="577"/>
      <c r="H25" s="552">
        <v>-1</v>
      </c>
      <c r="I25" s="576">
        <v>1</v>
      </c>
      <c r="J25" s="548"/>
      <c r="K25" s="552">
        <v>-12</v>
      </c>
      <c r="L25" s="548"/>
      <c r="M25" s="548"/>
      <c r="N25" s="548"/>
      <c r="O25" s="575"/>
      <c r="P25" s="548"/>
      <c r="Q25" s="557" t="s">
        <v>9</v>
      </c>
      <c r="R25" s="561">
        <v>-10</v>
      </c>
      <c r="S25" s="548"/>
      <c r="T25" s="552"/>
      <c r="U25" s="548"/>
      <c r="V25" s="555">
        <v>-10</v>
      </c>
      <c r="W25" s="548"/>
      <c r="X25" s="556">
        <v>0.16666666666666663</v>
      </c>
      <c r="Y25" s="548"/>
      <c r="Z25" s="556">
        <v>0.16666666666666663</v>
      </c>
      <c r="AA25" s="548"/>
      <c r="AB25" s="548"/>
      <c r="AC25" s="373"/>
      <c r="AD25" s="886"/>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row>
    <row r="26" spans="1:170" s="92" customFormat="1" ht="12.75">
      <c r="A26" s="93"/>
      <c r="B26" s="372"/>
      <c r="C26" s="103"/>
      <c r="D26" s="557" t="s">
        <v>187</v>
      </c>
      <c r="E26" s="558">
        <v>10</v>
      </c>
      <c r="F26" s="548"/>
      <c r="G26" s="577"/>
      <c r="H26" s="552">
        <v>-2</v>
      </c>
      <c r="I26" s="576"/>
      <c r="J26" s="548"/>
      <c r="K26" s="552">
        <v>8</v>
      </c>
      <c r="L26" s="548"/>
      <c r="M26" s="548"/>
      <c r="N26" s="548"/>
      <c r="O26" s="575"/>
      <c r="P26" s="548"/>
      <c r="Q26" s="557" t="s">
        <v>187</v>
      </c>
      <c r="R26" s="558">
        <v>23</v>
      </c>
      <c r="S26" s="548"/>
      <c r="T26" s="552"/>
      <c r="U26" s="548"/>
      <c r="V26" s="555">
        <v>23</v>
      </c>
      <c r="W26" s="548"/>
      <c r="X26" s="556">
        <v>1.3</v>
      </c>
      <c r="Y26" s="548"/>
      <c r="Z26" s="556">
        <v>1.875</v>
      </c>
      <c r="AA26" s="548"/>
      <c r="AB26" s="548"/>
      <c r="AC26" s="373"/>
      <c r="AD26" s="886"/>
      <c r="AE26" s="539"/>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row>
    <row r="27" spans="1:170" s="96" customFormat="1" ht="12.75">
      <c r="A27" s="540"/>
      <c r="B27" s="623"/>
      <c r="C27" s="109"/>
      <c r="D27" s="624" t="s">
        <v>188</v>
      </c>
      <c r="E27" s="393">
        <v>-6</v>
      </c>
      <c r="F27" s="104"/>
      <c r="G27" s="625"/>
      <c r="H27" s="626"/>
      <c r="I27" s="627"/>
      <c r="J27" s="104"/>
      <c r="K27" s="626">
        <v>-6</v>
      </c>
      <c r="L27" s="104"/>
      <c r="M27" s="104"/>
      <c r="N27" s="104"/>
      <c r="O27" s="104"/>
      <c r="P27" s="648"/>
      <c r="Q27" s="624" t="s">
        <v>188</v>
      </c>
      <c r="R27" s="393">
        <v>0</v>
      </c>
      <c r="S27" s="104"/>
      <c r="T27" s="626"/>
      <c r="U27" s="104"/>
      <c r="V27" s="640">
        <v>0</v>
      </c>
      <c r="W27" s="104"/>
      <c r="X27" s="628"/>
      <c r="Y27" s="104"/>
      <c r="Z27" s="628"/>
      <c r="AA27" s="104"/>
      <c r="AB27" s="104"/>
      <c r="AC27" s="443"/>
      <c r="AD27" s="887"/>
      <c r="AE27" s="94"/>
      <c r="AF27" s="539"/>
      <c r="AG27" s="539"/>
      <c r="AH27" s="539"/>
      <c r="AI27" s="539"/>
      <c r="AJ27" s="539"/>
      <c r="AK27" s="539"/>
      <c r="AL27" s="539"/>
      <c r="AM27" s="539"/>
      <c r="AN27" s="539"/>
      <c r="AO27" s="539"/>
      <c r="AP27" s="539"/>
      <c r="AQ27" s="539"/>
      <c r="AR27" s="539"/>
      <c r="AS27" s="539"/>
      <c r="AT27" s="539"/>
      <c r="AU27" s="539"/>
      <c r="AV27" s="539"/>
      <c r="AW27" s="539"/>
      <c r="AX27" s="539"/>
      <c r="AY27" s="539"/>
      <c r="AZ27" s="539"/>
      <c r="BA27" s="539"/>
      <c r="BB27" s="539"/>
      <c r="BC27" s="539"/>
      <c r="BD27" s="539"/>
      <c r="BE27" s="539"/>
      <c r="BF27" s="539"/>
      <c r="BG27" s="539"/>
      <c r="BH27" s="539"/>
      <c r="BI27" s="539"/>
      <c r="BJ27" s="539"/>
      <c r="BK27" s="539"/>
      <c r="BL27" s="539"/>
      <c r="BM27" s="539"/>
      <c r="BN27" s="539"/>
      <c r="BO27" s="539"/>
      <c r="BP27" s="539"/>
      <c r="BQ27" s="539"/>
      <c r="BR27" s="539"/>
      <c r="BS27" s="539"/>
      <c r="BT27" s="539"/>
      <c r="BU27" s="539"/>
      <c r="BV27" s="539"/>
      <c r="BW27" s="539"/>
      <c r="BX27" s="539"/>
      <c r="BY27" s="539"/>
      <c r="BZ27" s="539"/>
      <c r="CA27" s="539"/>
      <c r="CB27" s="539"/>
      <c r="CC27" s="539"/>
      <c r="CD27" s="539"/>
      <c r="CE27" s="539"/>
      <c r="CF27" s="539"/>
      <c r="CG27" s="539"/>
      <c r="CH27" s="539"/>
      <c r="CI27" s="539"/>
      <c r="CJ27" s="539"/>
      <c r="CK27" s="539"/>
      <c r="CL27" s="539"/>
      <c r="CM27" s="539"/>
      <c r="CN27" s="539"/>
      <c r="CO27" s="539"/>
      <c r="CP27" s="539"/>
      <c r="CQ27" s="539"/>
      <c r="CR27" s="539"/>
      <c r="CS27" s="539"/>
      <c r="CT27" s="539"/>
      <c r="CU27" s="539"/>
      <c r="CV27" s="539"/>
      <c r="CW27" s="539"/>
      <c r="CX27" s="539"/>
      <c r="CY27" s="539"/>
      <c r="CZ27" s="539"/>
      <c r="DA27" s="539"/>
      <c r="DB27" s="539"/>
      <c r="DC27" s="539"/>
      <c r="DD27" s="539"/>
      <c r="DE27" s="539"/>
      <c r="DF27" s="539"/>
      <c r="DG27" s="539"/>
      <c r="DH27" s="539"/>
      <c r="DI27" s="539"/>
      <c r="DJ27" s="539"/>
      <c r="DK27" s="539"/>
      <c r="DL27" s="539"/>
      <c r="DM27" s="539"/>
      <c r="DN27" s="539"/>
      <c r="DO27" s="539"/>
      <c r="DP27" s="539"/>
      <c r="DQ27" s="539"/>
      <c r="DR27" s="539"/>
      <c r="DS27" s="539"/>
      <c r="DT27" s="539"/>
      <c r="DU27" s="539"/>
      <c r="DV27" s="539"/>
      <c r="DW27" s="539"/>
      <c r="DX27" s="539"/>
      <c r="DY27" s="539"/>
      <c r="DZ27" s="539"/>
      <c r="EA27" s="539"/>
      <c r="EB27" s="539"/>
      <c r="EC27" s="539"/>
      <c r="ED27" s="539"/>
      <c r="EE27" s="539"/>
      <c r="EF27" s="539"/>
      <c r="EG27" s="539"/>
      <c r="EH27" s="539"/>
      <c r="EI27" s="539"/>
      <c r="EJ27" s="539"/>
      <c r="EK27" s="539"/>
      <c r="EL27" s="539"/>
      <c r="EM27" s="539"/>
      <c r="EN27" s="539"/>
      <c r="EO27" s="539"/>
      <c r="EP27" s="539"/>
      <c r="EQ27" s="539"/>
      <c r="ER27" s="539"/>
      <c r="ES27" s="539"/>
      <c r="ET27" s="539"/>
      <c r="EU27" s="539"/>
      <c r="EV27" s="539"/>
      <c r="EW27" s="539"/>
      <c r="EX27" s="539"/>
      <c r="EY27" s="539"/>
      <c r="EZ27" s="539"/>
      <c r="FA27" s="539"/>
      <c r="FB27" s="539"/>
      <c r="FC27" s="539"/>
      <c r="FD27" s="539"/>
      <c r="FE27" s="539"/>
      <c r="FF27" s="539"/>
      <c r="FG27" s="539"/>
      <c r="FH27" s="539"/>
      <c r="FI27" s="539"/>
      <c r="FJ27" s="539"/>
      <c r="FK27" s="539"/>
      <c r="FL27" s="539"/>
      <c r="FM27" s="539"/>
      <c r="FN27" s="539"/>
    </row>
    <row r="28" spans="1:170" s="92" customFormat="1" ht="12.75">
      <c r="A28" s="93"/>
      <c r="B28" s="372"/>
      <c r="C28" s="103"/>
      <c r="D28" s="272" t="s">
        <v>10</v>
      </c>
      <c r="E28" s="273">
        <v>3295</v>
      </c>
      <c r="F28" s="579"/>
      <c r="G28" s="274">
        <v>1</v>
      </c>
      <c r="H28" s="275">
        <v>-16</v>
      </c>
      <c r="I28" s="580">
        <v>41</v>
      </c>
      <c r="J28" s="548"/>
      <c r="K28" s="275">
        <v>3321</v>
      </c>
      <c r="L28" s="548"/>
      <c r="M28" s="548"/>
      <c r="N28" s="548"/>
      <c r="O28" s="548"/>
      <c r="P28" s="578"/>
      <c r="Q28" s="272" t="s">
        <v>10</v>
      </c>
      <c r="R28" s="273">
        <v>3154</v>
      </c>
      <c r="S28" s="548"/>
      <c r="T28" s="381">
        <v>37</v>
      </c>
      <c r="U28" s="548"/>
      <c r="V28" s="276">
        <v>3191</v>
      </c>
      <c r="W28" s="548"/>
      <c r="X28" s="277">
        <v>-0.04279210925644916</v>
      </c>
      <c r="Y28" s="548"/>
      <c r="Z28" s="277">
        <v>-0.039144835892803376</v>
      </c>
      <c r="AA28" s="548"/>
      <c r="AB28" s="548"/>
      <c r="AC28" s="374"/>
      <c r="AD28" s="886"/>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row>
    <row r="29" spans="1:170" s="656" customFormat="1" ht="12.75">
      <c r="A29" s="93"/>
      <c r="B29" s="375"/>
      <c r="C29" s="382"/>
      <c r="D29" s="581"/>
      <c r="E29" s="561"/>
      <c r="F29" s="548"/>
      <c r="G29" s="577"/>
      <c r="H29" s="577"/>
      <c r="I29" s="576"/>
      <c r="J29" s="548"/>
      <c r="K29" s="552"/>
      <c r="L29" s="548"/>
      <c r="M29" s="548"/>
      <c r="N29" s="548"/>
      <c r="O29" s="548"/>
      <c r="P29" s="578"/>
      <c r="Q29" s="581"/>
      <c r="R29" s="561"/>
      <c r="S29" s="573"/>
      <c r="T29" s="552"/>
      <c r="U29" s="573"/>
      <c r="V29" s="555"/>
      <c r="W29" s="548"/>
      <c r="X29" s="578"/>
      <c r="Y29" s="548"/>
      <c r="Z29" s="578"/>
      <c r="AA29" s="548"/>
      <c r="AB29" s="548"/>
      <c r="AC29" s="374"/>
      <c r="AD29" s="886"/>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row>
    <row r="30" spans="1:170" s="92" customFormat="1" ht="12.75">
      <c r="A30" s="93"/>
      <c r="B30" s="375"/>
      <c r="C30" s="103"/>
      <c r="D30" s="258" t="s">
        <v>67</v>
      </c>
      <c r="E30" s="583"/>
      <c r="F30" s="548"/>
      <c r="G30" s="577"/>
      <c r="H30" s="577"/>
      <c r="I30" s="576"/>
      <c r="J30" s="548"/>
      <c r="K30" s="552"/>
      <c r="L30" s="548"/>
      <c r="M30" s="548"/>
      <c r="N30" s="548"/>
      <c r="O30" s="548"/>
      <c r="P30" s="578"/>
      <c r="Q30" s="258" t="s">
        <v>67</v>
      </c>
      <c r="R30" s="583"/>
      <c r="S30" s="548"/>
      <c r="T30" s="552"/>
      <c r="U30" s="548"/>
      <c r="V30" s="555"/>
      <c r="W30" s="548"/>
      <c r="X30" s="578"/>
      <c r="Y30" s="548"/>
      <c r="Z30" s="578"/>
      <c r="AA30" s="548"/>
      <c r="AB30" s="548"/>
      <c r="AC30" s="374"/>
      <c r="AD30" s="886"/>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row>
    <row r="31" spans="1:170" s="92" customFormat="1" ht="12.75">
      <c r="A31" s="93"/>
      <c r="B31" s="375"/>
      <c r="C31" s="103"/>
      <c r="D31" s="542" t="s">
        <v>7</v>
      </c>
      <c r="E31" s="584">
        <v>0.4999205971097348</v>
      </c>
      <c r="F31" s="573"/>
      <c r="G31" s="585"/>
      <c r="H31" s="585"/>
      <c r="I31" s="574"/>
      <c r="J31" s="548"/>
      <c r="K31" s="586">
        <v>0.5043727142629989</v>
      </c>
      <c r="L31" s="548"/>
      <c r="M31" s="548"/>
      <c r="N31" s="548"/>
      <c r="O31" s="575"/>
      <c r="P31" s="548"/>
      <c r="Q31" s="542" t="s">
        <v>7</v>
      </c>
      <c r="R31" s="584">
        <v>0.4747878182725911</v>
      </c>
      <c r="S31" s="548"/>
      <c r="T31" s="544"/>
      <c r="U31" s="548"/>
      <c r="V31" s="828">
        <v>0.48077883175237146</v>
      </c>
      <c r="W31" s="548"/>
      <c r="X31" s="587">
        <v>-2.513277883714371</v>
      </c>
      <c r="Y31" s="548"/>
      <c r="Z31" s="587">
        <v>-2.359388251062744</v>
      </c>
      <c r="AA31" s="548"/>
      <c r="AB31" s="548"/>
      <c r="AC31" s="374"/>
      <c r="AD31" s="886"/>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row>
    <row r="32" spans="1:170" s="92" customFormat="1" ht="12.75">
      <c r="A32" s="93"/>
      <c r="B32" s="375"/>
      <c r="C32" s="103"/>
      <c r="D32" s="557" t="s">
        <v>8</v>
      </c>
      <c r="E32" s="588">
        <v>0.00980392156862745</v>
      </c>
      <c r="F32" s="548"/>
      <c r="G32" s="577"/>
      <c r="H32" s="577"/>
      <c r="I32" s="576"/>
      <c r="J32" s="548"/>
      <c r="K32" s="589">
        <v>0.03305785123966942</v>
      </c>
      <c r="L32" s="548"/>
      <c r="M32" s="548"/>
      <c r="N32" s="548"/>
      <c r="O32" s="575"/>
      <c r="P32" s="548"/>
      <c r="Q32" s="557" t="s">
        <v>8</v>
      </c>
      <c r="R32" s="588">
        <v>0.09868421052631579</v>
      </c>
      <c r="S32" s="548"/>
      <c r="T32" s="552"/>
      <c r="U32" s="548"/>
      <c r="V32" s="829">
        <v>0.09868421052631579</v>
      </c>
      <c r="W32" s="548"/>
      <c r="X32" s="590">
        <v>8.888028895768835</v>
      </c>
      <c r="Y32" s="548"/>
      <c r="Z32" s="590">
        <v>6.562635928664637</v>
      </c>
      <c r="AA32" s="548"/>
      <c r="AB32" s="548"/>
      <c r="AC32" s="374"/>
      <c r="AD32" s="886"/>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row>
    <row r="33" spans="1:31" s="92" customFormat="1" ht="12.75">
      <c r="A33" s="93"/>
      <c r="B33" s="375"/>
      <c r="C33" s="103"/>
      <c r="D33" s="557" t="s">
        <v>31</v>
      </c>
      <c r="E33" s="588">
        <v>0.2162485065710872</v>
      </c>
      <c r="F33" s="379"/>
      <c r="G33" s="280"/>
      <c r="H33" s="280"/>
      <c r="I33" s="591"/>
      <c r="J33" s="379"/>
      <c r="K33" s="589">
        <v>0.22617534942820838</v>
      </c>
      <c r="L33" s="379"/>
      <c r="M33" s="379"/>
      <c r="N33" s="379"/>
      <c r="O33" s="380"/>
      <c r="P33" s="379"/>
      <c r="Q33" s="557" t="s">
        <v>31</v>
      </c>
      <c r="R33" s="588">
        <v>0.24454545454545454</v>
      </c>
      <c r="S33" s="379"/>
      <c r="T33" s="383"/>
      <c r="U33" s="379"/>
      <c r="V33" s="829">
        <v>0.24454545454545454</v>
      </c>
      <c r="W33" s="379"/>
      <c r="X33" s="590">
        <v>2.8296947974367326</v>
      </c>
      <c r="Y33" s="379"/>
      <c r="Z33" s="590">
        <v>1.8370105117246154</v>
      </c>
      <c r="AA33" s="379"/>
      <c r="AB33" s="379"/>
      <c r="AC33" s="374"/>
      <c r="AD33" s="886"/>
      <c r="AE33" s="94"/>
    </row>
    <row r="34" spans="1:31" s="92" customFormat="1" ht="12.75">
      <c r="A34" s="93"/>
      <c r="B34" s="375"/>
      <c r="C34" s="103"/>
      <c r="D34" s="557" t="s">
        <v>89</v>
      </c>
      <c r="E34" s="588">
        <v>-0.6363636363636364</v>
      </c>
      <c r="F34" s="379"/>
      <c r="G34" s="280"/>
      <c r="H34" s="280"/>
      <c r="I34" s="591"/>
      <c r="J34" s="379"/>
      <c r="K34" s="589">
        <v>-0.6136363636363636</v>
      </c>
      <c r="L34" s="379"/>
      <c r="M34" s="379"/>
      <c r="N34" s="379"/>
      <c r="O34" s="380"/>
      <c r="P34" s="379"/>
      <c r="Q34" s="557" t="s">
        <v>89</v>
      </c>
      <c r="R34" s="588">
        <v>-0.1896551724137931</v>
      </c>
      <c r="S34" s="379"/>
      <c r="T34" s="383"/>
      <c r="U34" s="379"/>
      <c r="V34" s="829">
        <v>-0.1724137931034483</v>
      </c>
      <c r="W34" s="379"/>
      <c r="X34" s="590">
        <v>44.67084639498432</v>
      </c>
      <c r="Y34" s="379"/>
      <c r="Z34" s="590">
        <v>44.122257053291534</v>
      </c>
      <c r="AA34" s="379"/>
      <c r="AB34" s="379"/>
      <c r="AC34" s="374"/>
      <c r="AD34" s="886"/>
      <c r="AE34" s="94"/>
    </row>
    <row r="35" spans="1:31" s="92" customFormat="1" ht="12.75">
      <c r="A35" s="93"/>
      <c r="B35" s="375"/>
      <c r="C35" s="103"/>
      <c r="D35" s="557" t="s">
        <v>9</v>
      </c>
      <c r="E35" s="588">
        <v>-0.1276595744680851</v>
      </c>
      <c r="F35" s="379"/>
      <c r="G35" s="280"/>
      <c r="H35" s="280"/>
      <c r="I35" s="591"/>
      <c r="J35" s="379"/>
      <c r="K35" s="589">
        <v>-0.12903225806451613</v>
      </c>
      <c r="L35" s="379"/>
      <c r="M35" s="379"/>
      <c r="N35" s="379"/>
      <c r="O35" s="380"/>
      <c r="P35" s="379"/>
      <c r="Q35" s="557" t="s">
        <v>9</v>
      </c>
      <c r="R35" s="588">
        <v>-0.12048192771084337</v>
      </c>
      <c r="S35" s="379"/>
      <c r="T35" s="383"/>
      <c r="U35" s="379"/>
      <c r="V35" s="829">
        <v>-0.12048192771084337</v>
      </c>
      <c r="W35" s="379"/>
      <c r="X35" s="590">
        <v>0.7177646757241724</v>
      </c>
      <c r="Y35" s="379"/>
      <c r="Z35" s="590">
        <v>0.8550330353672753</v>
      </c>
      <c r="AA35" s="379"/>
      <c r="AB35" s="379"/>
      <c r="AC35" s="374"/>
      <c r="AD35" s="886"/>
      <c r="AE35" s="94"/>
    </row>
    <row r="36" spans="1:31" ht="12.75">
      <c r="A36" s="571"/>
      <c r="B36" s="185"/>
      <c r="C36" s="111"/>
      <c r="D36" s="272" t="s">
        <v>10</v>
      </c>
      <c r="E36" s="281">
        <v>0.44039026998128844</v>
      </c>
      <c r="F36" s="592"/>
      <c r="G36" s="593"/>
      <c r="H36" s="593"/>
      <c r="I36" s="594"/>
      <c r="J36" s="100"/>
      <c r="K36" s="282">
        <v>0.44535335925975594</v>
      </c>
      <c r="L36" s="100"/>
      <c r="M36" s="100"/>
      <c r="N36" s="100"/>
      <c r="O36" s="595"/>
      <c r="P36" s="100"/>
      <c r="Q36" s="272" t="s">
        <v>10</v>
      </c>
      <c r="R36" s="281">
        <v>0.41830238726790453</v>
      </c>
      <c r="S36" s="100"/>
      <c r="T36" s="593"/>
      <c r="U36" s="100"/>
      <c r="V36" s="830">
        <v>0.42320954907161806</v>
      </c>
      <c r="W36" s="100"/>
      <c r="X36" s="596">
        <v>-2.208788271338391</v>
      </c>
      <c r="Y36" s="100"/>
      <c r="Z36" s="596">
        <v>-2.2143810188137882</v>
      </c>
      <c r="AA36" s="100"/>
      <c r="AB36" s="100"/>
      <c r="AC36" s="202"/>
      <c r="AD36" s="865"/>
      <c r="AE36" s="94"/>
    </row>
    <row r="37" spans="1:31" ht="12.75">
      <c r="A37" s="571"/>
      <c r="B37" s="185"/>
      <c r="C37" s="111"/>
      <c r="D37" s="283"/>
      <c r="E37" s="284"/>
      <c r="F37" s="100"/>
      <c r="G37" s="597"/>
      <c r="H37" s="597"/>
      <c r="I37" s="598"/>
      <c r="J37" s="100"/>
      <c r="K37" s="597"/>
      <c r="L37" s="100"/>
      <c r="M37" s="100"/>
      <c r="N37" s="100"/>
      <c r="O37" s="595"/>
      <c r="P37" s="100"/>
      <c r="Q37" s="283"/>
      <c r="R37" s="284"/>
      <c r="S37" s="100"/>
      <c r="T37" s="597"/>
      <c r="U37" s="100"/>
      <c r="V37" s="831"/>
      <c r="W37" s="100"/>
      <c r="X37" s="599"/>
      <c r="Y37" s="100"/>
      <c r="Z37" s="599"/>
      <c r="AA37" s="100"/>
      <c r="AB37" s="100"/>
      <c r="AC37" s="202"/>
      <c r="AD37" s="865"/>
      <c r="AE37" s="94"/>
    </row>
    <row r="38" spans="1:31" ht="12.75">
      <c r="A38" s="571"/>
      <c r="B38" s="185"/>
      <c r="C38" s="111"/>
      <c r="D38" s="258" t="s">
        <v>47</v>
      </c>
      <c r="E38" s="376"/>
      <c r="F38" s="234"/>
      <c r="G38" s="279"/>
      <c r="H38" s="279"/>
      <c r="I38" s="572"/>
      <c r="J38" s="234"/>
      <c r="K38" s="377"/>
      <c r="L38" s="234"/>
      <c r="M38" s="234"/>
      <c r="N38" s="234"/>
      <c r="O38" s="378"/>
      <c r="P38" s="234"/>
      <c r="Q38" s="258" t="s">
        <v>47</v>
      </c>
      <c r="R38" s="376"/>
      <c r="S38" s="234"/>
      <c r="T38" s="377"/>
      <c r="U38" s="234"/>
      <c r="V38" s="827"/>
      <c r="W38" s="234"/>
      <c r="X38" s="243"/>
      <c r="Y38" s="234"/>
      <c r="Z38" s="243"/>
      <c r="AA38" s="234"/>
      <c r="AB38" s="234"/>
      <c r="AC38" s="202"/>
      <c r="AD38" s="865"/>
      <c r="AE38" s="94"/>
    </row>
    <row r="39" spans="1:31" s="92" customFormat="1" ht="12.75">
      <c r="A39" s="93"/>
      <c r="B39" s="375"/>
      <c r="C39" s="103"/>
      <c r="D39" s="542" t="s">
        <v>7</v>
      </c>
      <c r="E39" s="600">
        <v>2081</v>
      </c>
      <c r="F39" s="573"/>
      <c r="G39" s="544">
        <v>-5</v>
      </c>
      <c r="H39" s="544"/>
      <c r="I39" s="574">
        <v>-55</v>
      </c>
      <c r="J39" s="548"/>
      <c r="K39" s="544">
        <v>2021</v>
      </c>
      <c r="L39" s="548"/>
      <c r="M39" s="548"/>
      <c r="N39" s="548"/>
      <c r="O39" s="575"/>
      <c r="P39" s="548"/>
      <c r="Q39" s="542" t="s">
        <v>7</v>
      </c>
      <c r="R39" s="600">
        <v>1790</v>
      </c>
      <c r="S39" s="548"/>
      <c r="T39" s="544">
        <v>26</v>
      </c>
      <c r="U39" s="548"/>
      <c r="V39" s="547">
        <v>1816</v>
      </c>
      <c r="W39" s="548"/>
      <c r="X39" s="549">
        <v>-0.13983661701105243</v>
      </c>
      <c r="Y39" s="548"/>
      <c r="Z39" s="549">
        <v>-0.10143493320138541</v>
      </c>
      <c r="AA39" s="548"/>
      <c r="AB39" s="548"/>
      <c r="AC39" s="373"/>
      <c r="AD39" s="886"/>
      <c r="AE39" s="94"/>
    </row>
    <row r="40" spans="1:31" s="92" customFormat="1" ht="12.75">
      <c r="A40" s="93"/>
      <c r="B40" s="375"/>
      <c r="C40" s="103"/>
      <c r="D40" s="557" t="s">
        <v>8</v>
      </c>
      <c r="E40" s="561">
        <v>-38</v>
      </c>
      <c r="F40" s="548"/>
      <c r="G40" s="552">
        <v>6</v>
      </c>
      <c r="H40" s="552"/>
      <c r="I40" s="576"/>
      <c r="J40" s="548"/>
      <c r="K40" s="552">
        <v>-32</v>
      </c>
      <c r="L40" s="548"/>
      <c r="M40" s="548"/>
      <c r="N40" s="548"/>
      <c r="O40" s="575"/>
      <c r="P40" s="548"/>
      <c r="Q40" s="557" t="s">
        <v>8</v>
      </c>
      <c r="R40" s="561">
        <v>-31</v>
      </c>
      <c r="S40" s="548"/>
      <c r="T40" s="552"/>
      <c r="U40" s="548"/>
      <c r="V40" s="555">
        <v>-31</v>
      </c>
      <c r="W40" s="548"/>
      <c r="X40" s="556">
        <v>0.1842105263157895</v>
      </c>
      <c r="Y40" s="548"/>
      <c r="Z40" s="556">
        <v>-0.03125</v>
      </c>
      <c r="AA40" s="548"/>
      <c r="AB40" s="548"/>
      <c r="AC40" s="373"/>
      <c r="AD40" s="886"/>
      <c r="AE40" s="94"/>
    </row>
    <row r="41" spans="1:31" s="92" customFormat="1" ht="12.75">
      <c r="A41" s="93"/>
      <c r="B41" s="375"/>
      <c r="C41" s="103"/>
      <c r="D41" s="557" t="s">
        <v>31</v>
      </c>
      <c r="E41" s="561">
        <v>-36</v>
      </c>
      <c r="F41" s="548"/>
      <c r="G41" s="577"/>
      <c r="H41" s="552">
        <v>-1</v>
      </c>
      <c r="I41" s="576">
        <v>9</v>
      </c>
      <c r="J41" s="548"/>
      <c r="K41" s="552">
        <v>-28</v>
      </c>
      <c r="L41" s="548"/>
      <c r="M41" s="548"/>
      <c r="N41" s="548"/>
      <c r="O41" s="575"/>
      <c r="P41" s="548"/>
      <c r="Q41" s="557" t="s">
        <v>31</v>
      </c>
      <c r="R41" s="561">
        <v>16</v>
      </c>
      <c r="S41" s="548"/>
      <c r="T41" s="552"/>
      <c r="U41" s="548"/>
      <c r="V41" s="555">
        <v>16</v>
      </c>
      <c r="W41" s="548"/>
      <c r="X41" s="556">
        <v>1.4444444444444444</v>
      </c>
      <c r="Y41" s="548"/>
      <c r="Z41" s="556">
        <v>1.5714285714285714</v>
      </c>
      <c r="AA41" s="548"/>
      <c r="AB41" s="548"/>
      <c r="AC41" s="373"/>
      <c r="AD41" s="886"/>
      <c r="AE41" s="94"/>
    </row>
    <row r="42" spans="1:31" s="92" customFormat="1" ht="12.75">
      <c r="A42" s="93"/>
      <c r="B42" s="375"/>
      <c r="C42" s="103"/>
      <c r="D42" s="557" t="s">
        <v>89</v>
      </c>
      <c r="E42" s="561">
        <v>-41</v>
      </c>
      <c r="F42" s="548"/>
      <c r="G42" s="577"/>
      <c r="H42" s="552"/>
      <c r="I42" s="576">
        <v>1</v>
      </c>
      <c r="J42" s="548"/>
      <c r="K42" s="552">
        <v>-40</v>
      </c>
      <c r="L42" s="379"/>
      <c r="M42" s="379"/>
      <c r="N42" s="379"/>
      <c r="O42" s="380"/>
      <c r="P42" s="379"/>
      <c r="Q42" s="557" t="s">
        <v>89</v>
      </c>
      <c r="R42" s="561">
        <v>-26</v>
      </c>
      <c r="S42" s="548"/>
      <c r="T42" s="552">
        <v>1</v>
      </c>
      <c r="U42" s="548"/>
      <c r="V42" s="555">
        <v>-25</v>
      </c>
      <c r="W42" s="379"/>
      <c r="X42" s="556">
        <v>0.36585365853658536</v>
      </c>
      <c r="Y42" s="379"/>
      <c r="Z42" s="556">
        <v>0.375</v>
      </c>
      <c r="AA42" s="379"/>
      <c r="AB42" s="379"/>
      <c r="AC42" s="373"/>
      <c r="AD42" s="886"/>
      <c r="AE42" s="94"/>
    </row>
    <row r="43" spans="1:31" s="92" customFormat="1" ht="12.75">
      <c r="A43" s="93"/>
      <c r="B43" s="375"/>
      <c r="C43" s="103"/>
      <c r="D43" s="557" t="s">
        <v>9</v>
      </c>
      <c r="E43" s="561">
        <v>-17</v>
      </c>
      <c r="F43" s="548"/>
      <c r="G43" s="577"/>
      <c r="H43" s="552">
        <v>-1</v>
      </c>
      <c r="I43" s="576">
        <v>1</v>
      </c>
      <c r="J43" s="548"/>
      <c r="K43" s="552">
        <v>-17</v>
      </c>
      <c r="L43" s="548"/>
      <c r="M43" s="548"/>
      <c r="N43" s="548"/>
      <c r="O43" s="575"/>
      <c r="P43" s="548"/>
      <c r="Q43" s="557" t="s">
        <v>9</v>
      </c>
      <c r="R43" s="561">
        <v>-14</v>
      </c>
      <c r="S43" s="548"/>
      <c r="T43" s="552"/>
      <c r="U43" s="548"/>
      <c r="V43" s="555">
        <v>-14</v>
      </c>
      <c r="W43" s="548"/>
      <c r="X43" s="556">
        <v>0.17647058823529416</v>
      </c>
      <c r="Y43" s="548"/>
      <c r="Z43" s="556">
        <v>0.17647058823529416</v>
      </c>
      <c r="AA43" s="548"/>
      <c r="AB43" s="548"/>
      <c r="AC43" s="373"/>
      <c r="AD43" s="886"/>
      <c r="AE43" s="94"/>
    </row>
    <row r="44" spans="1:31" s="92" customFormat="1" ht="12.75">
      <c r="A44" s="93"/>
      <c r="B44" s="375"/>
      <c r="C44" s="103"/>
      <c r="D44" s="557" t="s">
        <v>187</v>
      </c>
      <c r="E44" s="561">
        <v>28</v>
      </c>
      <c r="F44" s="548"/>
      <c r="G44" s="577"/>
      <c r="H44" s="552">
        <v>-2</v>
      </c>
      <c r="I44" s="576">
        <v>-29</v>
      </c>
      <c r="J44" s="548"/>
      <c r="K44" s="552">
        <v>-3</v>
      </c>
      <c r="L44" s="548"/>
      <c r="M44" s="548"/>
      <c r="N44" s="548"/>
      <c r="O44" s="575"/>
      <c r="P44" s="548"/>
      <c r="Q44" s="557" t="s">
        <v>187</v>
      </c>
      <c r="R44" s="561">
        <v>15</v>
      </c>
      <c r="S44" s="548"/>
      <c r="T44" s="552"/>
      <c r="U44" s="548"/>
      <c r="V44" s="555">
        <v>15</v>
      </c>
      <c r="W44" s="548"/>
      <c r="X44" s="556">
        <v>-0.4642857142857143</v>
      </c>
      <c r="Y44" s="548"/>
      <c r="Z44" s="601" t="s">
        <v>141</v>
      </c>
      <c r="AA44" s="548"/>
      <c r="AB44" s="548"/>
      <c r="AC44" s="373"/>
      <c r="AD44" s="886"/>
      <c r="AE44" s="539"/>
    </row>
    <row r="45" spans="1:31" s="96" customFormat="1" ht="12.75">
      <c r="A45" s="540"/>
      <c r="B45" s="399"/>
      <c r="C45" s="109"/>
      <c r="D45" s="624" t="s">
        <v>188</v>
      </c>
      <c r="E45" s="393">
        <v>7</v>
      </c>
      <c r="F45" s="104"/>
      <c r="G45" s="625"/>
      <c r="H45" s="626"/>
      <c r="I45" s="627">
        <v>2</v>
      </c>
      <c r="J45" s="104"/>
      <c r="K45" s="626">
        <v>9</v>
      </c>
      <c r="L45" s="104"/>
      <c r="M45" s="104"/>
      <c r="N45" s="104"/>
      <c r="O45" s="629"/>
      <c r="P45" s="104"/>
      <c r="Q45" s="624" t="s">
        <v>188</v>
      </c>
      <c r="R45" s="393">
        <v>13</v>
      </c>
      <c r="S45" s="104"/>
      <c r="T45" s="626"/>
      <c r="U45" s="104"/>
      <c r="V45" s="640">
        <v>13</v>
      </c>
      <c r="W45" s="104"/>
      <c r="X45" s="628"/>
      <c r="Y45" s="104"/>
      <c r="Z45" s="628"/>
      <c r="AA45" s="104"/>
      <c r="AB45" s="104"/>
      <c r="AC45" s="443"/>
      <c r="AD45" s="887"/>
      <c r="AE45" s="94"/>
    </row>
    <row r="46" spans="1:31" s="92" customFormat="1" ht="12.75">
      <c r="A46" s="93"/>
      <c r="B46" s="375"/>
      <c r="C46" s="103"/>
      <c r="D46" s="272" t="s">
        <v>10</v>
      </c>
      <c r="E46" s="384">
        <v>1984</v>
      </c>
      <c r="F46" s="579"/>
      <c r="G46" s="274">
        <v>1</v>
      </c>
      <c r="H46" s="275">
        <v>-4</v>
      </c>
      <c r="I46" s="580">
        <v>-71</v>
      </c>
      <c r="J46" s="548"/>
      <c r="K46" s="275">
        <v>1910</v>
      </c>
      <c r="L46" s="548"/>
      <c r="M46" s="548"/>
      <c r="N46" s="548"/>
      <c r="O46" s="575"/>
      <c r="P46" s="548"/>
      <c r="Q46" s="272" t="s">
        <v>10</v>
      </c>
      <c r="R46" s="384">
        <v>1763</v>
      </c>
      <c r="S46" s="548"/>
      <c r="T46" s="381">
        <v>27</v>
      </c>
      <c r="U46" s="548"/>
      <c r="V46" s="276">
        <v>1790</v>
      </c>
      <c r="W46" s="548"/>
      <c r="X46" s="285">
        <v>-0.11139112903225812</v>
      </c>
      <c r="Y46" s="548"/>
      <c r="Z46" s="277">
        <v>-0.06282722513089001</v>
      </c>
      <c r="AA46" s="548"/>
      <c r="AB46" s="548"/>
      <c r="AC46" s="374"/>
      <c r="AD46" s="886"/>
      <c r="AE46" s="94"/>
    </row>
    <row r="47" spans="1:31" s="92" customFormat="1" ht="12.75">
      <c r="A47" s="93"/>
      <c r="B47" s="375"/>
      <c r="C47" s="103"/>
      <c r="D47" s="581"/>
      <c r="E47" s="561"/>
      <c r="F47" s="548"/>
      <c r="G47" s="577"/>
      <c r="H47" s="577"/>
      <c r="I47" s="576"/>
      <c r="J47" s="548"/>
      <c r="K47" s="552"/>
      <c r="L47" s="548"/>
      <c r="M47" s="548"/>
      <c r="N47" s="548"/>
      <c r="O47" s="575"/>
      <c r="P47" s="548"/>
      <c r="Q47" s="581"/>
      <c r="R47" s="561"/>
      <c r="S47" s="548"/>
      <c r="T47" s="552"/>
      <c r="U47" s="548"/>
      <c r="V47" s="555"/>
      <c r="W47" s="548"/>
      <c r="X47" s="578"/>
      <c r="Y47" s="548"/>
      <c r="Z47" s="578"/>
      <c r="AA47" s="548"/>
      <c r="AB47" s="548"/>
      <c r="AC47" s="374"/>
      <c r="AD47" s="886"/>
      <c r="AE47" s="94"/>
    </row>
    <row r="48" spans="1:31" s="92" customFormat="1" ht="12.75">
      <c r="A48" s="93"/>
      <c r="B48" s="375"/>
      <c r="C48" s="103"/>
      <c r="D48" s="258" t="s">
        <v>69</v>
      </c>
      <c r="E48" s="583"/>
      <c r="F48" s="548"/>
      <c r="G48" s="577"/>
      <c r="H48" s="577"/>
      <c r="I48" s="576"/>
      <c r="J48" s="548"/>
      <c r="K48" s="552"/>
      <c r="L48" s="548"/>
      <c r="M48" s="548"/>
      <c r="N48" s="548"/>
      <c r="O48" s="575"/>
      <c r="P48" s="548"/>
      <c r="Q48" s="258" t="s">
        <v>69</v>
      </c>
      <c r="R48" s="583"/>
      <c r="S48" s="548"/>
      <c r="T48" s="552"/>
      <c r="U48" s="548"/>
      <c r="V48" s="555"/>
      <c r="W48" s="548"/>
      <c r="X48" s="578"/>
      <c r="Y48" s="548"/>
      <c r="Z48" s="578"/>
      <c r="AA48" s="548"/>
      <c r="AB48" s="548"/>
      <c r="AC48" s="374"/>
      <c r="AD48" s="886"/>
      <c r="AE48" s="95"/>
    </row>
    <row r="49" spans="1:31" s="92" customFormat="1" ht="12.75">
      <c r="A49" s="93"/>
      <c r="B49" s="375"/>
      <c r="C49" s="103"/>
      <c r="D49" s="542" t="s">
        <v>7</v>
      </c>
      <c r="E49" s="584">
        <v>0.3304748292837859</v>
      </c>
      <c r="F49" s="573"/>
      <c r="G49" s="585"/>
      <c r="H49" s="585"/>
      <c r="I49" s="574"/>
      <c r="J49" s="548"/>
      <c r="K49" s="586">
        <v>0.3213547463825727</v>
      </c>
      <c r="L49" s="548"/>
      <c r="M49" s="548"/>
      <c r="N49" s="548"/>
      <c r="O49" s="575"/>
      <c r="P49" s="548"/>
      <c r="Q49" s="542" t="s">
        <v>7</v>
      </c>
      <c r="R49" s="584">
        <v>0.29788650357796637</v>
      </c>
      <c r="S49" s="548"/>
      <c r="T49" s="544"/>
      <c r="U49" s="548"/>
      <c r="V49" s="828">
        <v>0.30221334664669663</v>
      </c>
      <c r="W49" s="548"/>
      <c r="X49" s="587">
        <v>-3.258832570581954</v>
      </c>
      <c r="Y49" s="548"/>
      <c r="Z49" s="587">
        <v>-1.9141399735876086</v>
      </c>
      <c r="AA49" s="548"/>
      <c r="AB49" s="548"/>
      <c r="AC49" s="374"/>
      <c r="AD49" s="886"/>
      <c r="AE49" s="95"/>
    </row>
    <row r="50" spans="1:31" s="92" customFormat="1" ht="12.75">
      <c r="A50" s="93"/>
      <c r="B50" s="375"/>
      <c r="C50" s="103"/>
      <c r="D50" s="557" t="s">
        <v>8</v>
      </c>
      <c r="E50" s="588">
        <v>-0.18627450980392157</v>
      </c>
      <c r="F50" s="548"/>
      <c r="G50" s="577"/>
      <c r="H50" s="577"/>
      <c r="I50" s="576"/>
      <c r="J50" s="548"/>
      <c r="K50" s="589">
        <v>-0.1322314049586777</v>
      </c>
      <c r="L50" s="548"/>
      <c r="M50" s="548"/>
      <c r="N50" s="548"/>
      <c r="O50" s="575"/>
      <c r="P50" s="548"/>
      <c r="Q50" s="557" t="s">
        <v>8</v>
      </c>
      <c r="R50" s="588">
        <v>-0.10197368421052631</v>
      </c>
      <c r="S50" s="548"/>
      <c r="T50" s="552"/>
      <c r="U50" s="548"/>
      <c r="V50" s="829">
        <v>-0.10197368421052631</v>
      </c>
      <c r="W50" s="548"/>
      <c r="X50" s="590">
        <v>8.430082559339526</v>
      </c>
      <c r="Y50" s="548"/>
      <c r="Z50" s="590">
        <v>3.0257720748151375</v>
      </c>
      <c r="AA50" s="548"/>
      <c r="AB50" s="548"/>
      <c r="AC50" s="374"/>
      <c r="AD50" s="886"/>
      <c r="AE50" s="95"/>
    </row>
    <row r="51" spans="2:31" s="92" customFormat="1" ht="12.75">
      <c r="B51" s="375"/>
      <c r="C51" s="103"/>
      <c r="D51" s="557" t="s">
        <v>31</v>
      </c>
      <c r="E51" s="588">
        <v>-0.043010752688172046</v>
      </c>
      <c r="F51" s="548"/>
      <c r="G51" s="577"/>
      <c r="H51" s="577"/>
      <c r="I51" s="576"/>
      <c r="J51" s="548"/>
      <c r="K51" s="589">
        <v>-0.035578144853875476</v>
      </c>
      <c r="L51" s="548"/>
      <c r="M51" s="548"/>
      <c r="N51" s="548"/>
      <c r="O51" s="575"/>
      <c r="P51" s="548"/>
      <c r="Q51" s="557" t="s">
        <v>31</v>
      </c>
      <c r="R51" s="588">
        <v>0.014545454545454545</v>
      </c>
      <c r="S51" s="548"/>
      <c r="T51" s="552"/>
      <c r="U51" s="548"/>
      <c r="V51" s="829">
        <v>0.014545454545454545</v>
      </c>
      <c r="W51" s="548"/>
      <c r="X51" s="590">
        <v>5.755620723362659</v>
      </c>
      <c r="Y51" s="379"/>
      <c r="Z51" s="590">
        <v>5.012359939933002</v>
      </c>
      <c r="AA51" s="548"/>
      <c r="AB51" s="548"/>
      <c r="AC51" s="374"/>
      <c r="AD51" s="886"/>
      <c r="AE51" s="95"/>
    </row>
    <row r="52" spans="2:31" s="92" customFormat="1" ht="12.75">
      <c r="B52" s="375"/>
      <c r="C52" s="103"/>
      <c r="D52" s="557" t="s">
        <v>89</v>
      </c>
      <c r="E52" s="588">
        <v>-0.9318181818181818</v>
      </c>
      <c r="F52" s="548"/>
      <c r="G52" s="577"/>
      <c r="H52" s="577"/>
      <c r="I52" s="576"/>
      <c r="J52" s="548"/>
      <c r="K52" s="589">
        <v>-0.9090909090909091</v>
      </c>
      <c r="L52" s="548"/>
      <c r="M52" s="548"/>
      <c r="N52" s="548"/>
      <c r="O52" s="575"/>
      <c r="P52" s="548"/>
      <c r="Q52" s="557" t="s">
        <v>89</v>
      </c>
      <c r="R52" s="588">
        <v>-0.4482758620689655</v>
      </c>
      <c r="S52" s="548"/>
      <c r="T52" s="552"/>
      <c r="U52" s="548"/>
      <c r="V52" s="829">
        <v>-0.43103448275862066</v>
      </c>
      <c r="W52" s="548"/>
      <c r="X52" s="590">
        <v>48.354231974921625</v>
      </c>
      <c r="Y52" s="379"/>
      <c r="Z52" s="590">
        <v>47.80564263322884</v>
      </c>
      <c r="AA52" s="548"/>
      <c r="AB52" s="548"/>
      <c r="AC52" s="374"/>
      <c r="AD52" s="886"/>
      <c r="AE52" s="95"/>
    </row>
    <row r="53" spans="2:31" s="92" customFormat="1" ht="12.75">
      <c r="B53" s="375"/>
      <c r="C53" s="103"/>
      <c r="D53" s="557" t="s">
        <v>9</v>
      </c>
      <c r="E53" s="588">
        <v>-0.18085106382978725</v>
      </c>
      <c r="F53" s="548"/>
      <c r="G53" s="577"/>
      <c r="H53" s="577"/>
      <c r="I53" s="576"/>
      <c r="J53" s="548"/>
      <c r="K53" s="589">
        <v>-0.1827956989247312</v>
      </c>
      <c r="L53" s="548"/>
      <c r="M53" s="548"/>
      <c r="N53" s="548"/>
      <c r="O53" s="575"/>
      <c r="P53" s="548"/>
      <c r="Q53" s="557" t="s">
        <v>9</v>
      </c>
      <c r="R53" s="588">
        <v>-0.1686746987951807</v>
      </c>
      <c r="S53" s="548"/>
      <c r="T53" s="552"/>
      <c r="U53" s="548"/>
      <c r="V53" s="829">
        <v>-0.1686746987951807</v>
      </c>
      <c r="W53" s="548"/>
      <c r="X53" s="590">
        <v>1.2176365034606533</v>
      </c>
      <c r="Y53" s="379"/>
      <c r="Z53" s="590">
        <v>1.4121000129550476</v>
      </c>
      <c r="AA53" s="548"/>
      <c r="AB53" s="548"/>
      <c r="AC53" s="374"/>
      <c r="AD53" s="886"/>
      <c r="AE53" s="95"/>
    </row>
    <row r="54" spans="2:31" s="92" customFormat="1" ht="12.75">
      <c r="B54" s="375"/>
      <c r="C54" s="103"/>
      <c r="D54" s="272" t="s">
        <v>10</v>
      </c>
      <c r="E54" s="281">
        <v>0.2651697407110398</v>
      </c>
      <c r="F54" s="579"/>
      <c r="G54" s="602"/>
      <c r="H54" s="602"/>
      <c r="I54" s="603"/>
      <c r="J54" s="548"/>
      <c r="K54" s="282">
        <v>0.25613517500335253</v>
      </c>
      <c r="L54" s="548"/>
      <c r="M54" s="548"/>
      <c r="N54" s="548"/>
      <c r="O54" s="575"/>
      <c r="P54" s="548"/>
      <c r="Q54" s="272" t="s">
        <v>10</v>
      </c>
      <c r="R54" s="281">
        <v>0.23381962864721487</v>
      </c>
      <c r="S54" s="548"/>
      <c r="T54" s="562"/>
      <c r="U54" s="548"/>
      <c r="V54" s="830">
        <v>0.23740053050397877</v>
      </c>
      <c r="W54" s="548"/>
      <c r="X54" s="596">
        <v>-3.135011206382496</v>
      </c>
      <c r="Y54" s="100"/>
      <c r="Z54" s="596">
        <v>-1.873464449937376</v>
      </c>
      <c r="AA54" s="548"/>
      <c r="AB54" s="548"/>
      <c r="AC54" s="374"/>
      <c r="AD54" s="886"/>
      <c r="AE54" s="95"/>
    </row>
    <row r="55" spans="2:31" s="92" customFormat="1" ht="13.5" thickBot="1">
      <c r="B55" s="375"/>
      <c r="C55" s="103"/>
      <c r="D55" s="286"/>
      <c r="E55" s="385"/>
      <c r="F55" s="385"/>
      <c r="G55" s="287"/>
      <c r="H55" s="287"/>
      <c r="I55" s="604"/>
      <c r="J55" s="385"/>
      <c r="K55" s="385"/>
      <c r="L55" s="385"/>
      <c r="M55" s="385"/>
      <c r="N55" s="385"/>
      <c r="O55" s="386"/>
      <c r="P55" s="379"/>
      <c r="Q55" s="288"/>
      <c r="R55" s="387"/>
      <c r="S55" s="387"/>
      <c r="T55" s="387"/>
      <c r="U55" s="387"/>
      <c r="V55" s="289"/>
      <c r="W55" s="379"/>
      <c r="X55" s="388"/>
      <c r="Y55" s="379"/>
      <c r="Z55" s="388"/>
      <c r="AA55" s="379"/>
      <c r="AB55" s="379"/>
      <c r="AC55" s="374"/>
      <c r="AD55" s="886"/>
      <c r="AE55" s="88"/>
    </row>
    <row r="56" spans="2:31" s="92" customFormat="1" ht="13.5" thickTop="1">
      <c r="B56" s="375"/>
      <c r="C56" s="103"/>
      <c r="D56" s="1533" t="s">
        <v>200</v>
      </c>
      <c r="E56" s="1533"/>
      <c r="F56" s="1533"/>
      <c r="G56" s="1533"/>
      <c r="H56" s="1533"/>
      <c r="I56" s="1533"/>
      <c r="J56" s="1533"/>
      <c r="K56" s="1533"/>
      <c r="L56" s="1533"/>
      <c r="M56" s="1533"/>
      <c r="N56" s="1533"/>
      <c r="O56" s="1533"/>
      <c r="P56" s="1533"/>
      <c r="Q56" s="1533"/>
      <c r="R56" s="1533"/>
      <c r="S56" s="1533"/>
      <c r="T56" s="1533"/>
      <c r="U56" s="1533"/>
      <c r="V56" s="1533"/>
      <c r="W56" s="1533"/>
      <c r="X56" s="1533"/>
      <c r="Y56" s="1533"/>
      <c r="Z56" s="1533"/>
      <c r="AA56" s="389"/>
      <c r="AB56" s="389"/>
      <c r="AC56" s="374"/>
      <c r="AD56" s="886"/>
      <c r="AE56" s="88"/>
    </row>
    <row r="57" spans="2:31" s="92" customFormat="1" ht="12.75">
      <c r="B57" s="375"/>
      <c r="C57" s="103"/>
      <c r="D57" s="1533"/>
      <c r="E57" s="1533"/>
      <c r="F57" s="1533"/>
      <c r="G57" s="1533"/>
      <c r="H57" s="1533"/>
      <c r="I57" s="1533"/>
      <c r="J57" s="1533"/>
      <c r="K57" s="1533"/>
      <c r="L57" s="1533"/>
      <c r="M57" s="1533"/>
      <c r="N57" s="1533"/>
      <c r="O57" s="1533"/>
      <c r="P57" s="1533"/>
      <c r="Q57" s="1533"/>
      <c r="R57" s="1533"/>
      <c r="S57" s="1533"/>
      <c r="T57" s="1533"/>
      <c r="U57" s="1533"/>
      <c r="V57" s="1533"/>
      <c r="W57" s="1533"/>
      <c r="X57" s="1533"/>
      <c r="Y57" s="1533"/>
      <c r="Z57" s="1533"/>
      <c r="AA57" s="389"/>
      <c r="AB57" s="389"/>
      <c r="AC57" s="374"/>
      <c r="AD57" s="886"/>
      <c r="AE57" s="88"/>
    </row>
    <row r="58" spans="2:31" s="92" customFormat="1" ht="12.75">
      <c r="B58" s="375"/>
      <c r="C58" s="103"/>
      <c r="D58" s="1542" t="s">
        <v>195</v>
      </c>
      <c r="E58" s="1543"/>
      <c r="F58" s="1543"/>
      <c r="G58" s="1543"/>
      <c r="H58" s="1543"/>
      <c r="I58" s="390" t="s">
        <v>2</v>
      </c>
      <c r="J58" s="390"/>
      <c r="K58" s="391" t="s">
        <v>6</v>
      </c>
      <c r="L58" s="389"/>
      <c r="M58" s="389"/>
      <c r="N58" s="389"/>
      <c r="O58" s="389"/>
      <c r="P58" s="389"/>
      <c r="Q58" s="264" t="s">
        <v>196</v>
      </c>
      <c r="R58" s="265"/>
      <c r="S58" s="265"/>
      <c r="T58" s="265"/>
      <c r="U58" s="265"/>
      <c r="V58" s="390" t="s">
        <v>2</v>
      </c>
      <c r="W58" s="390"/>
      <c r="X58" s="391" t="s">
        <v>6</v>
      </c>
      <c r="Y58" s="389"/>
      <c r="Z58" s="389"/>
      <c r="AA58" s="389"/>
      <c r="AB58" s="389"/>
      <c r="AC58" s="374"/>
      <c r="AD58" s="886"/>
      <c r="AE58" s="88"/>
    </row>
    <row r="59" spans="2:31" s="92" customFormat="1" ht="12.75">
      <c r="B59" s="375"/>
      <c r="C59" s="103"/>
      <c r="D59" s="667" t="s">
        <v>336</v>
      </c>
      <c r="E59" s="389"/>
      <c r="F59" s="389"/>
      <c r="G59" s="392"/>
      <c r="H59" s="392"/>
      <c r="I59" s="605">
        <v>25</v>
      </c>
      <c r="J59" s="104"/>
      <c r="K59" s="393">
        <v>37</v>
      </c>
      <c r="L59" s="389"/>
      <c r="M59" s="389"/>
      <c r="N59" s="389"/>
      <c r="O59" s="389"/>
      <c r="P59" s="389"/>
      <c r="Q59" s="667" t="s">
        <v>336</v>
      </c>
      <c r="R59" s="389"/>
      <c r="S59" s="389"/>
      <c r="T59" s="392"/>
      <c r="U59" s="392"/>
      <c r="V59" s="104">
        <v>25</v>
      </c>
      <c r="W59" s="104"/>
      <c r="X59" s="393">
        <v>37</v>
      </c>
      <c r="Y59" s="389"/>
      <c r="Z59" s="389"/>
      <c r="AA59" s="389"/>
      <c r="AB59" s="389"/>
      <c r="AC59" s="374"/>
      <c r="AE59" s="88"/>
    </row>
    <row r="60" spans="2:31" s="92" customFormat="1" ht="12.75">
      <c r="B60" s="375"/>
      <c r="C60" s="103"/>
      <c r="D60" s="290" t="s">
        <v>191</v>
      </c>
      <c r="E60" s="389"/>
      <c r="F60" s="389"/>
      <c r="G60" s="392"/>
      <c r="H60" s="392"/>
      <c r="I60" s="605">
        <v>9</v>
      </c>
      <c r="J60" s="104"/>
      <c r="K60" s="393"/>
      <c r="L60" s="389"/>
      <c r="M60" s="389"/>
      <c r="N60" s="389"/>
      <c r="O60" s="389"/>
      <c r="P60" s="389"/>
      <c r="Q60" s="290" t="s">
        <v>191</v>
      </c>
      <c r="R60" s="389"/>
      <c r="S60" s="389"/>
      <c r="T60" s="392"/>
      <c r="U60" s="392"/>
      <c r="V60" s="104">
        <v>9</v>
      </c>
      <c r="W60" s="104"/>
      <c r="X60" s="393"/>
      <c r="Y60" s="389"/>
      <c r="Z60" s="389"/>
      <c r="AA60" s="389"/>
      <c r="AB60" s="389"/>
      <c r="AC60" s="374"/>
      <c r="AE60" s="88"/>
    </row>
    <row r="61" spans="2:29" s="92" customFormat="1" ht="12.75">
      <c r="B61" s="375"/>
      <c r="C61" s="103"/>
      <c r="D61" s="290"/>
      <c r="E61" s="389"/>
      <c r="F61" s="389"/>
      <c r="G61" s="392"/>
      <c r="H61" s="392"/>
      <c r="I61" s="605"/>
      <c r="J61" s="104"/>
      <c r="K61" s="393"/>
      <c r="L61" s="389"/>
      <c r="M61" s="389"/>
      <c r="N61" s="389"/>
      <c r="O61" s="389"/>
      <c r="P61" s="389"/>
      <c r="Q61" s="290" t="s">
        <v>193</v>
      </c>
      <c r="R61" s="389"/>
      <c r="S61" s="389"/>
      <c r="T61" s="392"/>
      <c r="U61" s="392"/>
      <c r="V61" s="104">
        <v>-85</v>
      </c>
      <c r="W61" s="104"/>
      <c r="X61" s="393"/>
      <c r="Y61" s="389"/>
      <c r="Z61" s="389"/>
      <c r="AA61" s="389"/>
      <c r="AB61" s="389"/>
      <c r="AC61" s="374"/>
    </row>
    <row r="62" spans="2:29" s="92" customFormat="1" ht="12.75">
      <c r="B62" s="375"/>
      <c r="C62" s="103"/>
      <c r="D62" s="290"/>
      <c r="E62" s="389"/>
      <c r="F62" s="389"/>
      <c r="G62" s="392"/>
      <c r="H62" s="392"/>
      <c r="I62" s="605"/>
      <c r="J62" s="104"/>
      <c r="K62" s="393"/>
      <c r="L62" s="389"/>
      <c r="M62" s="389"/>
      <c r="N62" s="389"/>
      <c r="O62" s="389"/>
      <c r="P62" s="389"/>
      <c r="Q62" s="290" t="s">
        <v>194</v>
      </c>
      <c r="R62" s="389"/>
      <c r="S62" s="389"/>
      <c r="T62" s="392"/>
      <c r="U62" s="392"/>
      <c r="V62" s="104">
        <v>-27</v>
      </c>
      <c r="W62" s="104"/>
      <c r="X62" s="393">
        <v>-10</v>
      </c>
      <c r="Y62" s="389"/>
      <c r="Z62" s="389"/>
      <c r="AA62" s="389"/>
      <c r="AB62" s="389"/>
      <c r="AC62" s="374"/>
    </row>
    <row r="63" spans="2:29" s="92" customFormat="1" ht="12.75">
      <c r="B63" s="375"/>
      <c r="C63" s="103"/>
      <c r="D63" s="290" t="s">
        <v>192</v>
      </c>
      <c r="E63" s="389"/>
      <c r="F63" s="389"/>
      <c r="G63" s="392"/>
      <c r="H63" s="392"/>
      <c r="I63" s="605">
        <v>7</v>
      </c>
      <c r="J63" s="104"/>
      <c r="K63" s="393"/>
      <c r="L63" s="389"/>
      <c r="M63" s="389"/>
      <c r="N63" s="389"/>
      <c r="O63" s="389"/>
      <c r="P63" s="389"/>
      <c r="Q63" s="290" t="s">
        <v>192</v>
      </c>
      <c r="R63" s="389"/>
      <c r="S63" s="389"/>
      <c r="T63" s="392"/>
      <c r="U63" s="392"/>
      <c r="V63" s="104">
        <v>7</v>
      </c>
      <c r="W63" s="104"/>
      <c r="X63" s="393"/>
      <c r="Y63" s="389"/>
      <c r="Z63" s="389"/>
      <c r="AA63" s="389"/>
      <c r="AB63" s="389"/>
      <c r="AC63" s="374"/>
    </row>
    <row r="64" spans="2:29" s="92" customFormat="1" ht="12.75">
      <c r="B64" s="375"/>
      <c r="C64" s="103"/>
      <c r="D64" s="291" t="s">
        <v>139</v>
      </c>
      <c r="E64" s="394"/>
      <c r="F64" s="394"/>
      <c r="G64" s="395"/>
      <c r="H64" s="395"/>
      <c r="I64" s="606">
        <v>41</v>
      </c>
      <c r="J64" s="394"/>
      <c r="K64" s="396">
        <v>37</v>
      </c>
      <c r="L64" s="389"/>
      <c r="M64" s="389"/>
      <c r="N64" s="389"/>
      <c r="O64" s="389"/>
      <c r="P64" s="389"/>
      <c r="Q64" s="291" t="s">
        <v>139</v>
      </c>
      <c r="R64" s="394"/>
      <c r="S64" s="394"/>
      <c r="T64" s="395"/>
      <c r="U64" s="395"/>
      <c r="V64" s="394">
        <v>-71</v>
      </c>
      <c r="W64" s="394"/>
      <c r="X64" s="396">
        <v>27</v>
      </c>
      <c r="Y64" s="389"/>
      <c r="Z64" s="389"/>
      <c r="AA64" s="389"/>
      <c r="AB64" s="389"/>
      <c r="AC64" s="374"/>
    </row>
    <row r="65" spans="2:29" s="92" customFormat="1" ht="12.75">
      <c r="B65" s="375"/>
      <c r="C65" s="103"/>
      <c r="D65" s="245"/>
      <c r="E65" s="389"/>
      <c r="F65" s="389"/>
      <c r="G65" s="392"/>
      <c r="H65" s="392"/>
      <c r="I65" s="607"/>
      <c r="J65" s="389"/>
      <c r="K65" s="389"/>
      <c r="L65" s="389"/>
      <c r="M65" s="389"/>
      <c r="N65" s="389"/>
      <c r="O65" s="389"/>
      <c r="P65" s="389"/>
      <c r="Q65" s="389"/>
      <c r="R65" s="389"/>
      <c r="S65" s="389"/>
      <c r="T65" s="389"/>
      <c r="U65" s="389"/>
      <c r="V65" s="389"/>
      <c r="W65" s="389"/>
      <c r="X65" s="389"/>
      <c r="Y65" s="389"/>
      <c r="Z65" s="389"/>
      <c r="AA65" s="389"/>
      <c r="AB65" s="389"/>
      <c r="AC65" s="374"/>
    </row>
    <row r="66" spans="2:29" s="92" customFormat="1" ht="4.5" customHeight="1">
      <c r="B66" s="397"/>
      <c r="C66" s="105"/>
      <c r="D66" s="102"/>
      <c r="E66" s="105"/>
      <c r="F66" s="106"/>
      <c r="G66" s="105"/>
      <c r="H66" s="105"/>
      <c r="I66" s="609"/>
      <c r="J66" s="104"/>
      <c r="K66" s="103"/>
      <c r="L66" s="105"/>
      <c r="M66" s="105"/>
      <c r="N66" s="235"/>
      <c r="O66" s="235"/>
      <c r="P66" s="235"/>
      <c r="Q66" s="105"/>
      <c r="R66" s="105"/>
      <c r="S66" s="105"/>
      <c r="T66" s="105"/>
      <c r="U66" s="105"/>
      <c r="V66" s="105"/>
      <c r="W66" s="235"/>
      <c r="X66" s="105"/>
      <c r="Y66" s="235"/>
      <c r="Z66" s="105"/>
      <c r="AA66" s="235"/>
      <c r="AB66" s="105"/>
      <c r="AC66" s="398"/>
    </row>
    <row r="67" spans="2:29" s="92" customFormat="1" ht="6.75" customHeight="1">
      <c r="B67" s="375"/>
      <c r="C67" s="103"/>
      <c r="D67" s="101"/>
      <c r="E67" s="103"/>
      <c r="F67" s="104"/>
      <c r="G67" s="103"/>
      <c r="H67" s="103"/>
      <c r="I67" s="846"/>
      <c r="J67" s="847"/>
      <c r="K67" s="848"/>
      <c r="L67" s="103"/>
      <c r="M67" s="103"/>
      <c r="N67" s="109"/>
      <c r="O67" s="109"/>
      <c r="P67" s="109"/>
      <c r="Q67" s="103"/>
      <c r="R67" s="103"/>
      <c r="S67" s="103"/>
      <c r="T67" s="103"/>
      <c r="U67" s="103"/>
      <c r="V67" s="103"/>
      <c r="W67" s="109"/>
      <c r="X67" s="103"/>
      <c r="Y67" s="109"/>
      <c r="Z67" s="103"/>
      <c r="AA67" s="109"/>
      <c r="AB67" s="103"/>
      <c r="AC67" s="374"/>
    </row>
    <row r="68" spans="2:29" s="92" customFormat="1" ht="6.75" customHeight="1">
      <c r="B68" s="375"/>
      <c r="C68" s="103"/>
      <c r="D68" s="101"/>
      <c r="E68" s="103"/>
      <c r="F68" s="104"/>
      <c r="G68" s="103"/>
      <c r="H68" s="103"/>
      <c r="I68" s="609"/>
      <c r="J68" s="104"/>
      <c r="K68" s="103"/>
      <c r="L68" s="103"/>
      <c r="M68" s="103"/>
      <c r="N68" s="109"/>
      <c r="O68" s="109"/>
      <c r="P68" s="109"/>
      <c r="Q68" s="103"/>
      <c r="R68" s="103"/>
      <c r="S68" s="103"/>
      <c r="T68" s="103"/>
      <c r="U68" s="103"/>
      <c r="V68" s="103"/>
      <c r="W68" s="109"/>
      <c r="X68" s="103"/>
      <c r="Y68" s="109"/>
      <c r="Z68" s="103"/>
      <c r="AA68" s="109"/>
      <c r="AB68" s="103"/>
      <c r="AC68" s="374"/>
    </row>
    <row r="69" spans="2:31" ht="12.75">
      <c r="B69" s="1514"/>
      <c r="C69" s="1515"/>
      <c r="D69" s="1515"/>
      <c r="E69" s="1515"/>
      <c r="F69" s="1515"/>
      <c r="G69" s="1515"/>
      <c r="H69" s="1515"/>
      <c r="I69" s="1515"/>
      <c r="J69" s="1515"/>
      <c r="K69" s="1515"/>
      <c r="L69" s="1515"/>
      <c r="M69" s="1515"/>
      <c r="N69" s="1515"/>
      <c r="O69" s="1515"/>
      <c r="P69" s="1515"/>
      <c r="Q69" s="1515"/>
      <c r="R69" s="1515"/>
      <c r="S69" s="1515"/>
      <c r="T69" s="1515"/>
      <c r="U69" s="1515"/>
      <c r="V69" s="1515"/>
      <c r="W69" s="1515"/>
      <c r="X69" s="1515"/>
      <c r="Y69" s="1515"/>
      <c r="Z69" s="1515"/>
      <c r="AA69" s="1515"/>
      <c r="AB69" s="1515"/>
      <c r="AC69" s="1516"/>
      <c r="AE69" s="92"/>
    </row>
    <row r="70" spans="2:31" ht="13.5" thickBot="1">
      <c r="B70" s="1537"/>
      <c r="C70" s="1538"/>
      <c r="D70" s="1538"/>
      <c r="E70" s="1538"/>
      <c r="F70" s="1538"/>
      <c r="G70" s="1538"/>
      <c r="H70" s="1538"/>
      <c r="I70" s="1538"/>
      <c r="J70" s="1538"/>
      <c r="K70" s="1538"/>
      <c r="L70" s="1538"/>
      <c r="M70" s="1538"/>
      <c r="N70" s="1538"/>
      <c r="O70" s="1538"/>
      <c r="P70" s="1538"/>
      <c r="Q70" s="1538"/>
      <c r="R70" s="1538"/>
      <c r="S70" s="1538"/>
      <c r="T70" s="1538"/>
      <c r="U70" s="1538"/>
      <c r="V70" s="1538"/>
      <c r="W70" s="1538"/>
      <c r="X70" s="1538"/>
      <c r="Y70" s="1538"/>
      <c r="Z70" s="1538"/>
      <c r="AA70" s="1538"/>
      <c r="AB70" s="1538"/>
      <c r="AC70" s="1539"/>
      <c r="AE70" s="92"/>
    </row>
    <row r="71" spans="2:31" ht="26.25" thickTop="1">
      <c r="B71" s="185"/>
      <c r="C71" s="111"/>
      <c r="D71" s="1487" t="s">
        <v>201</v>
      </c>
      <c r="E71" s="1470"/>
      <c r="F71" s="1470"/>
      <c r="G71" s="1470"/>
      <c r="H71" s="1470"/>
      <c r="I71" s="1470"/>
      <c r="J71" s="1470"/>
      <c r="K71" s="1470"/>
      <c r="L71" s="1470"/>
      <c r="M71" s="1470"/>
      <c r="N71" s="1470"/>
      <c r="O71" s="1471"/>
      <c r="P71" s="292"/>
      <c r="Q71" s="1487" t="s">
        <v>148</v>
      </c>
      <c r="R71" s="1470"/>
      <c r="S71" s="1470"/>
      <c r="T71" s="1470"/>
      <c r="U71" s="1470"/>
      <c r="V71" s="1471"/>
      <c r="W71" s="292"/>
      <c r="X71" s="293" t="s">
        <v>212</v>
      </c>
      <c r="Y71" s="294"/>
      <c r="Z71" s="293" t="s">
        <v>213</v>
      </c>
      <c r="AA71" s="294"/>
      <c r="AB71" s="293" t="s">
        <v>214</v>
      </c>
      <c r="AC71" s="202"/>
      <c r="AE71" s="92"/>
    </row>
    <row r="72" spans="2:31" ht="12.75">
      <c r="B72" s="185"/>
      <c r="C72" s="111"/>
      <c r="D72" s="1472"/>
      <c r="E72" s="1473"/>
      <c r="F72" s="1473"/>
      <c r="G72" s="1473"/>
      <c r="H72" s="1473"/>
      <c r="I72" s="1473"/>
      <c r="J72" s="1473"/>
      <c r="K72" s="1473"/>
      <c r="L72" s="1473"/>
      <c r="M72" s="1473"/>
      <c r="N72" s="1473"/>
      <c r="O72" s="1513"/>
      <c r="P72" s="292"/>
      <c r="Q72" s="1544"/>
      <c r="R72" s="1545"/>
      <c r="S72" s="100"/>
      <c r="T72" s="548"/>
      <c r="U72" s="100"/>
      <c r="V72" s="295"/>
      <c r="W72" s="292"/>
      <c r="X72" s="296"/>
      <c r="Y72" s="292"/>
      <c r="Z72" s="296"/>
      <c r="AA72" s="292"/>
      <c r="AB72" s="296"/>
      <c r="AC72" s="202"/>
      <c r="AE72" s="92"/>
    </row>
    <row r="73" spans="2:29" ht="39.75">
      <c r="B73" s="185"/>
      <c r="C73" s="111"/>
      <c r="D73" s="1534" t="s">
        <v>332</v>
      </c>
      <c r="E73" s="1482"/>
      <c r="F73" s="239"/>
      <c r="G73" s="1480" t="s">
        <v>177</v>
      </c>
      <c r="H73" s="1481"/>
      <c r="I73" s="1482"/>
      <c r="J73" s="239"/>
      <c r="K73" s="259" t="s">
        <v>180</v>
      </c>
      <c r="L73" s="110"/>
      <c r="M73" s="259" t="s">
        <v>178</v>
      </c>
      <c r="N73" s="239"/>
      <c r="O73" s="260" t="s">
        <v>209</v>
      </c>
      <c r="P73" s="239"/>
      <c r="Q73" s="1534" t="s">
        <v>179</v>
      </c>
      <c r="R73" s="1482"/>
      <c r="S73" s="239"/>
      <c r="T73" s="257" t="s">
        <v>210</v>
      </c>
      <c r="U73" s="239"/>
      <c r="V73" s="261" t="s">
        <v>189</v>
      </c>
      <c r="W73" s="239"/>
      <c r="X73" s="1201" t="s">
        <v>186</v>
      </c>
      <c r="Y73" s="239"/>
      <c r="Z73" s="1201" t="s">
        <v>181</v>
      </c>
      <c r="AA73" s="239"/>
      <c r="AB73" s="1201" t="s">
        <v>182</v>
      </c>
      <c r="AC73" s="202"/>
    </row>
    <row r="74" spans="2:31" s="92" customFormat="1" ht="12.75">
      <c r="B74" s="441"/>
      <c r="C74" s="100"/>
      <c r="D74" s="541" t="s">
        <v>11</v>
      </c>
      <c r="E74" s="263"/>
      <c r="F74" s="110"/>
      <c r="G74" s="1535" t="s">
        <v>175</v>
      </c>
      <c r="H74" s="1535" t="s">
        <v>174</v>
      </c>
      <c r="I74" s="1535" t="s">
        <v>211</v>
      </c>
      <c r="J74" s="110"/>
      <c r="K74" s="267"/>
      <c r="L74" s="110"/>
      <c r="M74" s="267"/>
      <c r="N74" s="110"/>
      <c r="O74" s="268"/>
      <c r="P74" s="110"/>
      <c r="Q74" s="541"/>
      <c r="R74" s="263"/>
      <c r="S74" s="110"/>
      <c r="T74" s="266"/>
      <c r="U74" s="110"/>
      <c r="V74" s="268"/>
      <c r="W74" s="110"/>
      <c r="X74" s="242"/>
      <c r="Y74" s="110"/>
      <c r="Z74" s="242"/>
      <c r="AA74" s="110"/>
      <c r="AB74" s="242"/>
      <c r="AC74" s="442"/>
      <c r="AE74" s="88"/>
    </row>
    <row r="75" spans="2:31" s="92" customFormat="1" ht="12.75">
      <c r="B75" s="185"/>
      <c r="C75" s="111"/>
      <c r="D75" s="1519" t="s">
        <v>0</v>
      </c>
      <c r="E75" s="1520"/>
      <c r="F75" s="270"/>
      <c r="G75" s="1536"/>
      <c r="H75" s="1536"/>
      <c r="I75" s="1536"/>
      <c r="J75" s="234"/>
      <c r="K75" s="269"/>
      <c r="L75" s="270"/>
      <c r="M75" s="269"/>
      <c r="N75" s="270"/>
      <c r="O75" s="271"/>
      <c r="P75" s="234"/>
      <c r="Q75" s="1519" t="s">
        <v>0</v>
      </c>
      <c r="R75" s="1520"/>
      <c r="S75" s="234"/>
      <c r="T75" s="269"/>
      <c r="U75" s="234"/>
      <c r="V75" s="271"/>
      <c r="W75" s="234"/>
      <c r="X75" s="243"/>
      <c r="Y75" s="234"/>
      <c r="Z75" s="243"/>
      <c r="AA75" s="234"/>
      <c r="AB75" s="243"/>
      <c r="AC75" s="202"/>
      <c r="AE75" s="96"/>
    </row>
    <row r="76" spans="2:31" s="92" customFormat="1" ht="12.75">
      <c r="B76" s="375"/>
      <c r="C76" s="103"/>
      <c r="D76" s="542" t="s">
        <v>7</v>
      </c>
      <c r="E76" s="543">
        <v>12877</v>
      </c>
      <c r="F76" s="544"/>
      <c r="G76" s="544">
        <v>-6</v>
      </c>
      <c r="H76" s="544">
        <v>-10</v>
      </c>
      <c r="I76" s="545"/>
      <c r="J76" s="552"/>
      <c r="K76" s="546">
        <v>12861</v>
      </c>
      <c r="L76" s="544"/>
      <c r="M76" s="544">
        <v>230</v>
      </c>
      <c r="N76" s="544"/>
      <c r="O76" s="547">
        <v>12631</v>
      </c>
      <c r="P76" s="548"/>
      <c r="Q76" s="542" t="s">
        <v>7</v>
      </c>
      <c r="R76" s="543">
        <v>12182</v>
      </c>
      <c r="S76" s="548"/>
      <c r="T76" s="546"/>
      <c r="U76" s="548"/>
      <c r="V76" s="822">
        <v>12182</v>
      </c>
      <c r="W76" s="548"/>
      <c r="X76" s="549">
        <v>-0.05397219849343793</v>
      </c>
      <c r="Y76" s="548"/>
      <c r="Z76" s="549">
        <v>-0.052795272529352344</v>
      </c>
      <c r="AA76" s="548"/>
      <c r="AB76" s="549">
        <v>-0.03554746259203545</v>
      </c>
      <c r="AC76" s="373"/>
      <c r="AE76" s="96"/>
    </row>
    <row r="77" spans="2:31" s="92" customFormat="1" ht="12.75">
      <c r="B77" s="375"/>
      <c r="C77" s="103"/>
      <c r="D77" s="550" t="s">
        <v>145</v>
      </c>
      <c r="E77" s="551">
        <v>8599</v>
      </c>
      <c r="F77" s="552"/>
      <c r="G77" s="552">
        <v>-6</v>
      </c>
      <c r="H77" s="552">
        <v>-10</v>
      </c>
      <c r="I77" s="553"/>
      <c r="J77" s="552"/>
      <c r="K77" s="554">
        <v>8583</v>
      </c>
      <c r="L77" s="552"/>
      <c r="M77" s="552">
        <v>230</v>
      </c>
      <c r="N77" s="552"/>
      <c r="O77" s="555">
        <v>8353</v>
      </c>
      <c r="P77" s="548"/>
      <c r="Q77" s="550" t="s">
        <v>145</v>
      </c>
      <c r="R77" s="551">
        <v>7983</v>
      </c>
      <c r="S77" s="548"/>
      <c r="T77" s="554"/>
      <c r="U77" s="548"/>
      <c r="V77" s="823">
        <v>7983</v>
      </c>
      <c r="W77" s="548"/>
      <c r="X77" s="556">
        <v>-0.0716362367717176</v>
      </c>
      <c r="Y77" s="548"/>
      <c r="Z77" s="556">
        <v>-0.06990562740300599</v>
      </c>
      <c r="AA77" s="548"/>
      <c r="AB77" s="556">
        <v>-0.0442954627080091</v>
      </c>
      <c r="AC77" s="373"/>
      <c r="AE77" s="96"/>
    </row>
    <row r="78" spans="2:31" s="92" customFormat="1" ht="12.75">
      <c r="B78" s="375"/>
      <c r="C78" s="103"/>
      <c r="D78" s="550" t="s">
        <v>130</v>
      </c>
      <c r="E78" s="551">
        <v>4982</v>
      </c>
      <c r="F78" s="552"/>
      <c r="G78" s="552"/>
      <c r="H78" s="552"/>
      <c r="I78" s="553"/>
      <c r="J78" s="552"/>
      <c r="K78" s="554">
        <v>4982</v>
      </c>
      <c r="L78" s="552"/>
      <c r="M78" s="552"/>
      <c r="N78" s="552"/>
      <c r="O78" s="555"/>
      <c r="P78" s="548"/>
      <c r="Q78" s="550" t="s">
        <v>130</v>
      </c>
      <c r="R78" s="551">
        <v>4916</v>
      </c>
      <c r="S78" s="548"/>
      <c r="T78" s="554"/>
      <c r="U78" s="548"/>
      <c r="V78" s="823">
        <v>4916</v>
      </c>
      <c r="W78" s="548"/>
      <c r="X78" s="556">
        <v>-0.013247691690084329</v>
      </c>
      <c r="Y78" s="548"/>
      <c r="Z78" s="556">
        <v>-0.013247691690084329</v>
      </c>
      <c r="AA78" s="548"/>
      <c r="AB78" s="556"/>
      <c r="AC78" s="373"/>
      <c r="AE78" s="96"/>
    </row>
    <row r="79" spans="2:29" s="96" customFormat="1" ht="12.75">
      <c r="B79" s="399"/>
      <c r="C79" s="109"/>
      <c r="D79" s="624" t="s">
        <v>8</v>
      </c>
      <c r="E79" s="630">
        <v>427</v>
      </c>
      <c r="F79" s="626"/>
      <c r="G79" s="626">
        <v>154</v>
      </c>
      <c r="H79" s="626"/>
      <c r="I79" s="638"/>
      <c r="J79" s="626"/>
      <c r="K79" s="639">
        <v>581</v>
      </c>
      <c r="L79" s="626"/>
      <c r="M79" s="626"/>
      <c r="N79" s="626"/>
      <c r="O79" s="640"/>
      <c r="P79" s="104"/>
      <c r="Q79" s="624" t="s">
        <v>8</v>
      </c>
      <c r="R79" s="630">
        <v>695</v>
      </c>
      <c r="S79" s="104"/>
      <c r="T79" s="639"/>
      <c r="U79" s="104"/>
      <c r="V79" s="851">
        <v>695</v>
      </c>
      <c r="W79" s="104"/>
      <c r="X79" s="628">
        <v>0.6276346604215457</v>
      </c>
      <c r="Y79" s="104"/>
      <c r="Z79" s="628">
        <v>0.19621342512908768</v>
      </c>
      <c r="AA79" s="104"/>
      <c r="AB79" s="628"/>
      <c r="AC79" s="400"/>
    </row>
    <row r="80" spans="2:29" s="96" customFormat="1" ht="12.75">
      <c r="B80" s="399"/>
      <c r="C80" s="109"/>
      <c r="D80" s="624" t="s">
        <v>31</v>
      </c>
      <c r="E80" s="630">
        <v>1722</v>
      </c>
      <c r="F80" s="626"/>
      <c r="G80" s="626"/>
      <c r="H80" s="626">
        <v>-20</v>
      </c>
      <c r="I80" s="638"/>
      <c r="J80" s="626"/>
      <c r="K80" s="639">
        <v>1702</v>
      </c>
      <c r="L80" s="626"/>
      <c r="M80" s="626"/>
      <c r="N80" s="626"/>
      <c r="O80" s="640"/>
      <c r="P80" s="104"/>
      <c r="Q80" s="624" t="s">
        <v>31</v>
      </c>
      <c r="R80" s="630">
        <v>2322</v>
      </c>
      <c r="S80" s="104"/>
      <c r="T80" s="639"/>
      <c r="U80" s="104"/>
      <c r="V80" s="851">
        <v>2322</v>
      </c>
      <c r="W80" s="104"/>
      <c r="X80" s="628">
        <v>0.34843205574912894</v>
      </c>
      <c r="Y80" s="104"/>
      <c r="Z80" s="628">
        <v>0.359</v>
      </c>
      <c r="AA80" s="104"/>
      <c r="AB80" s="628"/>
      <c r="AC80" s="400"/>
    </row>
    <row r="81" spans="2:29" s="96" customFormat="1" ht="12.75">
      <c r="B81" s="399"/>
      <c r="C81" s="109"/>
      <c r="D81" s="624" t="s">
        <v>89</v>
      </c>
      <c r="E81" s="630">
        <v>98</v>
      </c>
      <c r="F81" s="626"/>
      <c r="G81" s="626"/>
      <c r="H81" s="626"/>
      <c r="I81" s="638"/>
      <c r="J81" s="626"/>
      <c r="K81" s="639">
        <v>98</v>
      </c>
      <c r="L81" s="626"/>
      <c r="M81" s="626"/>
      <c r="N81" s="626"/>
      <c r="O81" s="640"/>
      <c r="P81" s="104"/>
      <c r="Q81" s="624" t="s">
        <v>89</v>
      </c>
      <c r="R81" s="630">
        <v>125</v>
      </c>
      <c r="S81" s="104"/>
      <c r="T81" s="639"/>
      <c r="U81" s="104"/>
      <c r="V81" s="851">
        <v>125</v>
      </c>
      <c r="W81" s="104"/>
      <c r="X81" s="628">
        <v>0.2755102040816326</v>
      </c>
      <c r="Y81" s="104"/>
      <c r="Z81" s="628">
        <v>0.2755102040816326</v>
      </c>
      <c r="AA81" s="104"/>
      <c r="AB81" s="628"/>
      <c r="AC81" s="400"/>
    </row>
    <row r="82" spans="2:29" s="96" customFormat="1" ht="12.75">
      <c r="B82" s="399"/>
      <c r="C82" s="109"/>
      <c r="D82" s="624" t="s">
        <v>9</v>
      </c>
      <c r="E82" s="630">
        <v>212</v>
      </c>
      <c r="F82" s="626"/>
      <c r="G82" s="626">
        <v>2</v>
      </c>
      <c r="H82" s="626">
        <v>-2</v>
      </c>
      <c r="I82" s="638"/>
      <c r="J82" s="626"/>
      <c r="K82" s="639">
        <v>212</v>
      </c>
      <c r="L82" s="626"/>
      <c r="M82" s="626"/>
      <c r="N82" s="626"/>
      <c r="O82" s="640"/>
      <c r="P82" s="104"/>
      <c r="Q82" s="624" t="s">
        <v>9</v>
      </c>
      <c r="R82" s="630">
        <v>192</v>
      </c>
      <c r="S82" s="104"/>
      <c r="T82" s="639"/>
      <c r="U82" s="104"/>
      <c r="V82" s="851">
        <v>192</v>
      </c>
      <c r="W82" s="104"/>
      <c r="X82" s="628">
        <v>-0.09433962264150941</v>
      </c>
      <c r="Y82" s="104"/>
      <c r="Z82" s="628">
        <v>-0.09433962264150941</v>
      </c>
      <c r="AA82" s="104"/>
      <c r="AB82" s="628"/>
      <c r="AC82" s="400"/>
    </row>
    <row r="83" spans="2:29" s="96" customFormat="1" ht="12.75">
      <c r="B83" s="399"/>
      <c r="C83" s="109"/>
      <c r="D83" s="624" t="s">
        <v>187</v>
      </c>
      <c r="E83" s="630">
        <v>124</v>
      </c>
      <c r="F83" s="626"/>
      <c r="G83" s="626"/>
      <c r="H83" s="626">
        <v>-8</v>
      </c>
      <c r="I83" s="638"/>
      <c r="J83" s="626"/>
      <c r="K83" s="639">
        <v>116</v>
      </c>
      <c r="L83" s="626"/>
      <c r="M83" s="626"/>
      <c r="N83" s="626"/>
      <c r="O83" s="640"/>
      <c r="P83" s="104"/>
      <c r="Q83" s="624" t="s">
        <v>187</v>
      </c>
      <c r="R83" s="630">
        <v>109</v>
      </c>
      <c r="S83" s="104"/>
      <c r="T83" s="639"/>
      <c r="U83" s="104"/>
      <c r="V83" s="851">
        <v>109</v>
      </c>
      <c r="W83" s="104"/>
      <c r="X83" s="628">
        <v>-0.12096774193548387</v>
      </c>
      <c r="Y83" s="104"/>
      <c r="Z83" s="628">
        <v>-0.06034482758620685</v>
      </c>
      <c r="AA83" s="104"/>
      <c r="AB83" s="628"/>
      <c r="AC83" s="400"/>
    </row>
    <row r="84" spans="2:29" s="96" customFormat="1" ht="12.75">
      <c r="B84" s="399"/>
      <c r="C84" s="109"/>
      <c r="D84" s="624" t="s">
        <v>188</v>
      </c>
      <c r="E84" s="630">
        <v>-125</v>
      </c>
      <c r="F84" s="626"/>
      <c r="G84" s="626">
        <v>-1</v>
      </c>
      <c r="H84" s="626"/>
      <c r="I84" s="638"/>
      <c r="J84" s="626"/>
      <c r="K84" s="639">
        <v>-126</v>
      </c>
      <c r="L84" s="626"/>
      <c r="M84" s="626"/>
      <c r="N84" s="626"/>
      <c r="O84" s="640"/>
      <c r="P84" s="104"/>
      <c r="Q84" s="624" t="s">
        <v>188</v>
      </c>
      <c r="R84" s="393">
        <v>-155</v>
      </c>
      <c r="S84" s="104"/>
      <c r="T84" s="639"/>
      <c r="U84" s="104"/>
      <c r="V84" s="851">
        <v>-155</v>
      </c>
      <c r="W84" s="104"/>
      <c r="X84" s="628"/>
      <c r="Y84" s="104"/>
      <c r="Z84" s="628"/>
      <c r="AA84" s="104"/>
      <c r="AB84" s="628"/>
      <c r="AC84" s="400"/>
    </row>
    <row r="85" spans="2:29" s="96" customFormat="1" ht="13.5" thickBot="1">
      <c r="B85" s="399"/>
      <c r="C85" s="109"/>
      <c r="D85" s="641" t="s">
        <v>10</v>
      </c>
      <c r="E85" s="636">
        <v>15335</v>
      </c>
      <c r="F85" s="642"/>
      <c r="G85" s="643">
        <v>149</v>
      </c>
      <c r="H85" s="381">
        <v>-40</v>
      </c>
      <c r="I85" s="644"/>
      <c r="J85" s="626"/>
      <c r="K85" s="637">
        <v>15444</v>
      </c>
      <c r="L85" s="626"/>
      <c r="M85" s="381">
        <v>230</v>
      </c>
      <c r="N85" s="626"/>
      <c r="O85" s="645">
        <v>15214</v>
      </c>
      <c r="P85" s="104"/>
      <c r="Q85" s="641" t="s">
        <v>10</v>
      </c>
      <c r="R85" s="646">
        <v>15470</v>
      </c>
      <c r="S85" s="104"/>
      <c r="T85" s="643"/>
      <c r="U85" s="104"/>
      <c r="V85" s="852">
        <v>15470</v>
      </c>
      <c r="W85" s="104"/>
      <c r="X85" s="285">
        <v>0.008803390935767874</v>
      </c>
      <c r="Y85" s="104"/>
      <c r="Z85" s="285">
        <v>0.0016835016835017313</v>
      </c>
      <c r="AA85" s="104"/>
      <c r="AB85" s="647">
        <v>0.01682660707243322</v>
      </c>
      <c r="AC85" s="400"/>
    </row>
    <row r="86" spans="2:29" ht="13.5" thickTop="1">
      <c r="B86" s="375"/>
      <c r="C86" s="103"/>
      <c r="D86" s="564"/>
      <c r="E86" s="565"/>
      <c r="F86" s="548"/>
      <c r="G86" s="566"/>
      <c r="H86" s="566"/>
      <c r="I86" s="567"/>
      <c r="J86" s="548"/>
      <c r="K86" s="566"/>
      <c r="L86" s="111"/>
      <c r="M86" s="111"/>
      <c r="N86" s="100"/>
      <c r="O86" s="568"/>
      <c r="P86" s="100"/>
      <c r="Q86" s="564"/>
      <c r="R86" s="565"/>
      <c r="S86" s="548"/>
      <c r="T86" s="566"/>
      <c r="U86" s="548"/>
      <c r="V86" s="826"/>
      <c r="W86" s="100"/>
      <c r="X86" s="569"/>
      <c r="Y86" s="100"/>
      <c r="Z86" s="569"/>
      <c r="AA86" s="100"/>
      <c r="AB86" s="570"/>
      <c r="AC86" s="374"/>
    </row>
    <row r="87" spans="1:33" s="92" customFormat="1" ht="12.75">
      <c r="A87" s="93"/>
      <c r="B87" s="185"/>
      <c r="C87" s="111"/>
      <c r="D87" s="258" t="s">
        <v>45</v>
      </c>
      <c r="E87" s="376"/>
      <c r="F87" s="234"/>
      <c r="G87" s="279"/>
      <c r="H87" s="279"/>
      <c r="I87" s="572"/>
      <c r="J87" s="234"/>
      <c r="K87" s="377"/>
      <c r="L87" s="234"/>
      <c r="M87" s="234"/>
      <c r="N87" s="234"/>
      <c r="O87" s="378"/>
      <c r="P87" s="234"/>
      <c r="Q87" s="258" t="s">
        <v>45</v>
      </c>
      <c r="R87" s="376"/>
      <c r="S87" s="234"/>
      <c r="T87" s="377"/>
      <c r="U87" s="234"/>
      <c r="V87" s="827"/>
      <c r="W87" s="234"/>
      <c r="X87" s="243"/>
      <c r="Y87" s="234"/>
      <c r="Z87" s="243"/>
      <c r="AA87" s="234"/>
      <c r="AB87" s="234"/>
      <c r="AC87" s="202"/>
      <c r="AD87" s="96"/>
      <c r="AE87" s="96"/>
      <c r="AF87" s="96"/>
      <c r="AG87" s="96"/>
    </row>
    <row r="88" spans="1:29" s="96" customFormat="1" ht="12.75">
      <c r="A88" s="540"/>
      <c r="B88" s="399"/>
      <c r="C88" s="109"/>
      <c r="D88" s="649" t="s">
        <v>7</v>
      </c>
      <c r="E88" s="650">
        <v>6210</v>
      </c>
      <c r="F88" s="651"/>
      <c r="G88" s="652">
        <v>-8</v>
      </c>
      <c r="H88" s="652">
        <v>-2</v>
      </c>
      <c r="I88" s="653">
        <v>79</v>
      </c>
      <c r="J88" s="104"/>
      <c r="K88" s="652">
        <v>6279</v>
      </c>
      <c r="L88" s="104"/>
      <c r="M88" s="104"/>
      <c r="N88" s="104"/>
      <c r="O88" s="629"/>
      <c r="P88" s="104"/>
      <c r="Q88" s="649" t="s">
        <v>7</v>
      </c>
      <c r="R88" s="650">
        <v>5619</v>
      </c>
      <c r="S88" s="104"/>
      <c r="T88" s="652">
        <v>134</v>
      </c>
      <c r="U88" s="104"/>
      <c r="V88" s="853">
        <v>5753</v>
      </c>
      <c r="W88" s="104"/>
      <c r="X88" s="654">
        <v>-0.09516908212560382</v>
      </c>
      <c r="Y88" s="104"/>
      <c r="Z88" s="654">
        <v>-0.08377130116260556</v>
      </c>
      <c r="AA88" s="104"/>
      <c r="AB88" s="104"/>
      <c r="AC88" s="443"/>
    </row>
    <row r="89" spans="1:30" s="96" customFormat="1" ht="12.75">
      <c r="A89" s="540"/>
      <c r="B89" s="399"/>
      <c r="C89" s="109"/>
      <c r="D89" s="624" t="s">
        <v>8</v>
      </c>
      <c r="E89" s="630">
        <v>14</v>
      </c>
      <c r="F89" s="104"/>
      <c r="G89" s="626">
        <v>20</v>
      </c>
      <c r="H89" s="626"/>
      <c r="I89" s="627"/>
      <c r="J89" s="104"/>
      <c r="K89" s="626">
        <v>34</v>
      </c>
      <c r="L89" s="104"/>
      <c r="M89" s="104"/>
      <c r="N89" s="104"/>
      <c r="O89" s="629"/>
      <c r="P89" s="104"/>
      <c r="Q89" s="624" t="s">
        <v>8</v>
      </c>
      <c r="R89" s="630">
        <v>88</v>
      </c>
      <c r="S89" s="104"/>
      <c r="T89" s="626">
        <v>2</v>
      </c>
      <c r="U89" s="104"/>
      <c r="V89" s="640">
        <v>90</v>
      </c>
      <c r="W89" s="104"/>
      <c r="X89" s="655" t="s">
        <v>141</v>
      </c>
      <c r="Y89" s="104"/>
      <c r="Z89" s="628">
        <v>1.6470588235294117</v>
      </c>
      <c r="AA89" s="104"/>
      <c r="AB89" s="104"/>
      <c r="AC89" s="443"/>
      <c r="AD89" s="887"/>
    </row>
    <row r="90" spans="1:30" s="96" customFormat="1" ht="12.75">
      <c r="A90" s="540"/>
      <c r="B90" s="399"/>
      <c r="C90" s="109"/>
      <c r="D90" s="624" t="s">
        <v>31</v>
      </c>
      <c r="E90" s="630">
        <v>354</v>
      </c>
      <c r="F90" s="104"/>
      <c r="G90" s="625"/>
      <c r="H90" s="626">
        <v>-5</v>
      </c>
      <c r="I90" s="627">
        <v>9</v>
      </c>
      <c r="J90" s="104"/>
      <c r="K90" s="626">
        <v>358</v>
      </c>
      <c r="L90" s="104"/>
      <c r="M90" s="104"/>
      <c r="N90" s="104"/>
      <c r="O90" s="629"/>
      <c r="P90" s="104"/>
      <c r="Q90" s="624" t="s">
        <v>31</v>
      </c>
      <c r="R90" s="630">
        <v>585</v>
      </c>
      <c r="S90" s="104"/>
      <c r="T90" s="626"/>
      <c r="U90" s="104"/>
      <c r="V90" s="640">
        <v>585</v>
      </c>
      <c r="W90" s="104"/>
      <c r="X90" s="628">
        <v>0.652542372881356</v>
      </c>
      <c r="Y90" s="104"/>
      <c r="Z90" s="628">
        <v>0.627</v>
      </c>
      <c r="AA90" s="104"/>
      <c r="AB90" s="104"/>
      <c r="AC90" s="443"/>
      <c r="AD90" s="887"/>
    </row>
    <row r="91" spans="1:30" s="96" customFormat="1" ht="12.75">
      <c r="A91" s="540"/>
      <c r="B91" s="399"/>
      <c r="C91" s="109"/>
      <c r="D91" s="624" t="s">
        <v>89</v>
      </c>
      <c r="E91" s="630">
        <v>-52</v>
      </c>
      <c r="F91" s="104"/>
      <c r="G91" s="625"/>
      <c r="H91" s="626"/>
      <c r="I91" s="627">
        <v>4</v>
      </c>
      <c r="J91" s="104"/>
      <c r="K91" s="626">
        <v>-48</v>
      </c>
      <c r="L91" s="389"/>
      <c r="M91" s="389"/>
      <c r="N91" s="389"/>
      <c r="O91" s="657"/>
      <c r="P91" s="389"/>
      <c r="Q91" s="624" t="s">
        <v>89</v>
      </c>
      <c r="R91" s="393">
        <v>-21</v>
      </c>
      <c r="S91" s="104"/>
      <c r="T91" s="626">
        <v>1</v>
      </c>
      <c r="U91" s="104"/>
      <c r="V91" s="640">
        <v>-20</v>
      </c>
      <c r="W91" s="389"/>
      <c r="X91" s="628">
        <v>0.5961538461538461</v>
      </c>
      <c r="Y91" s="389"/>
      <c r="Z91" s="628">
        <v>0.5833333333333333</v>
      </c>
      <c r="AA91" s="389"/>
      <c r="AB91" s="389"/>
      <c r="AC91" s="443"/>
      <c r="AD91" s="887"/>
    </row>
    <row r="92" spans="1:30" s="96" customFormat="1" ht="12.75">
      <c r="A92" s="540"/>
      <c r="B92" s="399"/>
      <c r="C92" s="109"/>
      <c r="D92" s="624" t="s">
        <v>9</v>
      </c>
      <c r="E92" s="630">
        <v>-26</v>
      </c>
      <c r="F92" s="104"/>
      <c r="G92" s="658">
        <v>1</v>
      </c>
      <c r="H92" s="626">
        <v>-2</v>
      </c>
      <c r="I92" s="627">
        <v>7</v>
      </c>
      <c r="J92" s="104"/>
      <c r="K92" s="626">
        <v>-20</v>
      </c>
      <c r="L92" s="104"/>
      <c r="M92" s="104"/>
      <c r="N92" s="104"/>
      <c r="O92" s="629"/>
      <c r="P92" s="104"/>
      <c r="Q92" s="624" t="s">
        <v>9</v>
      </c>
      <c r="R92" s="393">
        <v>-17</v>
      </c>
      <c r="S92" s="104"/>
      <c r="T92" s="626"/>
      <c r="U92" s="104"/>
      <c r="V92" s="640">
        <v>-17</v>
      </c>
      <c r="W92" s="104"/>
      <c r="X92" s="628">
        <v>0.34615384615384615</v>
      </c>
      <c r="Y92" s="104"/>
      <c r="Z92" s="628">
        <v>0.15</v>
      </c>
      <c r="AA92" s="104"/>
      <c r="AB92" s="659"/>
      <c r="AC92" s="443"/>
      <c r="AD92" s="887"/>
    </row>
    <row r="93" spans="1:30" s="96" customFormat="1" ht="12.75">
      <c r="A93" s="540"/>
      <c r="B93" s="399"/>
      <c r="C93" s="109"/>
      <c r="D93" s="624" t="s">
        <v>187</v>
      </c>
      <c r="E93" s="630">
        <v>21</v>
      </c>
      <c r="F93" s="104"/>
      <c r="G93" s="625"/>
      <c r="H93" s="626">
        <v>-4</v>
      </c>
      <c r="I93" s="627">
        <v>1</v>
      </c>
      <c r="J93" s="104"/>
      <c r="K93" s="626">
        <v>18</v>
      </c>
      <c r="L93" s="104"/>
      <c r="M93" s="104"/>
      <c r="N93" s="104"/>
      <c r="O93" s="629"/>
      <c r="P93" s="104"/>
      <c r="Q93" s="624" t="s">
        <v>187</v>
      </c>
      <c r="R93" s="630">
        <v>41</v>
      </c>
      <c r="S93" s="104"/>
      <c r="T93" s="626"/>
      <c r="U93" s="104"/>
      <c r="V93" s="640">
        <v>41</v>
      </c>
      <c r="W93" s="104"/>
      <c r="X93" s="628">
        <v>0.9523809523809523</v>
      </c>
      <c r="Y93" s="104"/>
      <c r="Z93" s="628">
        <v>1.2777777777777777</v>
      </c>
      <c r="AA93" s="104"/>
      <c r="AB93" s="104"/>
      <c r="AC93" s="443"/>
      <c r="AD93" s="887"/>
    </row>
    <row r="94" spans="1:30" s="96" customFormat="1" ht="12.75">
      <c r="A94" s="540"/>
      <c r="B94" s="399"/>
      <c r="C94" s="109"/>
      <c r="D94" s="624" t="s">
        <v>188</v>
      </c>
      <c r="E94" s="630">
        <v>-3</v>
      </c>
      <c r="F94" s="104"/>
      <c r="G94" s="625"/>
      <c r="H94" s="626"/>
      <c r="I94" s="627"/>
      <c r="J94" s="104"/>
      <c r="K94" s="626">
        <v>-3</v>
      </c>
      <c r="L94" s="104"/>
      <c r="M94" s="104"/>
      <c r="N94" s="104"/>
      <c r="O94" s="629"/>
      <c r="P94" s="104"/>
      <c r="Q94" s="624" t="s">
        <v>188</v>
      </c>
      <c r="R94" s="393">
        <v>-1</v>
      </c>
      <c r="S94" s="104"/>
      <c r="T94" s="626">
        <v>1</v>
      </c>
      <c r="U94" s="104"/>
      <c r="V94" s="640">
        <v>0</v>
      </c>
      <c r="W94" s="104"/>
      <c r="X94" s="628"/>
      <c r="Y94" s="104"/>
      <c r="Z94" s="628"/>
      <c r="AA94" s="104"/>
      <c r="AB94" s="104"/>
      <c r="AC94" s="443"/>
      <c r="AD94" s="887"/>
    </row>
    <row r="95" spans="1:31" s="96" customFormat="1" ht="12.75">
      <c r="A95" s="540"/>
      <c r="B95" s="399"/>
      <c r="C95" s="109"/>
      <c r="D95" s="641" t="s">
        <v>10</v>
      </c>
      <c r="E95" s="636">
        <v>6518</v>
      </c>
      <c r="F95" s="660"/>
      <c r="G95" s="643">
        <v>13</v>
      </c>
      <c r="H95" s="381">
        <v>-13</v>
      </c>
      <c r="I95" s="580">
        <v>100</v>
      </c>
      <c r="J95" s="104"/>
      <c r="K95" s="381">
        <v>6618</v>
      </c>
      <c r="L95" s="104"/>
      <c r="M95" s="104"/>
      <c r="N95" s="104"/>
      <c r="O95" s="104"/>
      <c r="P95" s="648"/>
      <c r="Q95" s="641" t="s">
        <v>10</v>
      </c>
      <c r="R95" s="646">
        <v>6294</v>
      </c>
      <c r="S95" s="104"/>
      <c r="T95" s="381">
        <v>138</v>
      </c>
      <c r="U95" s="104"/>
      <c r="V95" s="645">
        <v>6432</v>
      </c>
      <c r="W95" s="104"/>
      <c r="X95" s="285">
        <v>-0.03436637005216325</v>
      </c>
      <c r="Y95" s="104"/>
      <c r="Z95" s="285">
        <v>-0.02810516772438798</v>
      </c>
      <c r="AA95" s="104"/>
      <c r="AB95" s="104"/>
      <c r="AC95" s="400"/>
      <c r="AD95" s="887"/>
      <c r="AE95" s="88"/>
    </row>
    <row r="96" spans="1:33" s="92" customFormat="1" ht="12.75">
      <c r="A96" s="93"/>
      <c r="B96" s="375"/>
      <c r="C96" s="382"/>
      <c r="D96" s="581"/>
      <c r="E96" s="561"/>
      <c r="F96" s="548"/>
      <c r="G96" s="577"/>
      <c r="H96" s="577"/>
      <c r="I96" s="576"/>
      <c r="J96" s="548"/>
      <c r="K96" s="552"/>
      <c r="L96" s="548"/>
      <c r="M96" s="548"/>
      <c r="N96" s="548"/>
      <c r="O96" s="548"/>
      <c r="P96" s="578"/>
      <c r="Q96" s="581"/>
      <c r="R96" s="561"/>
      <c r="S96" s="573"/>
      <c r="T96" s="552"/>
      <c r="U96" s="573"/>
      <c r="V96" s="555"/>
      <c r="W96" s="548"/>
      <c r="X96" s="578"/>
      <c r="Y96" s="548"/>
      <c r="Z96" s="578"/>
      <c r="AA96" s="548"/>
      <c r="AB96" s="548"/>
      <c r="AC96" s="374"/>
      <c r="AD96" s="887"/>
      <c r="AE96" s="88"/>
      <c r="AF96" s="96"/>
      <c r="AG96" s="96"/>
    </row>
    <row r="97" spans="1:33" s="92" customFormat="1" ht="12.75">
      <c r="A97" s="93"/>
      <c r="B97" s="375"/>
      <c r="C97" s="103"/>
      <c r="D97" s="258" t="s">
        <v>67</v>
      </c>
      <c r="E97" s="583"/>
      <c r="F97" s="548"/>
      <c r="G97" s="577"/>
      <c r="H97" s="577"/>
      <c r="I97" s="576"/>
      <c r="J97" s="548"/>
      <c r="K97" s="552"/>
      <c r="L97" s="548"/>
      <c r="M97" s="548"/>
      <c r="N97" s="548"/>
      <c r="O97" s="548"/>
      <c r="P97" s="578"/>
      <c r="Q97" s="258" t="s">
        <v>67</v>
      </c>
      <c r="R97" s="583"/>
      <c r="S97" s="548"/>
      <c r="T97" s="552"/>
      <c r="U97" s="548"/>
      <c r="V97" s="555"/>
      <c r="W97" s="548"/>
      <c r="X97" s="578"/>
      <c r="Y97" s="548"/>
      <c r="Z97" s="578"/>
      <c r="AA97" s="548"/>
      <c r="AB97" s="548"/>
      <c r="AC97" s="374"/>
      <c r="AD97" s="887"/>
      <c r="AE97" s="88"/>
      <c r="AF97" s="96"/>
      <c r="AG97" s="96"/>
    </row>
    <row r="98" spans="1:30" ht="12.75">
      <c r="A98" s="571"/>
      <c r="B98" s="375"/>
      <c r="C98" s="103"/>
      <c r="D98" s="542" t="s">
        <v>7</v>
      </c>
      <c r="E98" s="584">
        <v>0.48225518366079057</v>
      </c>
      <c r="F98" s="573"/>
      <c r="G98" s="585"/>
      <c r="H98" s="585"/>
      <c r="I98" s="574"/>
      <c r="J98" s="548"/>
      <c r="K98" s="586">
        <v>0.48822020060648474</v>
      </c>
      <c r="L98" s="548"/>
      <c r="M98" s="548"/>
      <c r="N98" s="548"/>
      <c r="O98" s="575"/>
      <c r="P98" s="548"/>
      <c r="Q98" s="542" t="s">
        <v>7</v>
      </c>
      <c r="R98" s="584">
        <v>0.46125430963716957</v>
      </c>
      <c r="S98" s="548"/>
      <c r="T98" s="544"/>
      <c r="U98" s="548"/>
      <c r="V98" s="828">
        <v>0.47225414546051553</v>
      </c>
      <c r="W98" s="548"/>
      <c r="X98" s="587">
        <v>-2.1000874023620995</v>
      </c>
      <c r="Y98" s="548"/>
      <c r="Z98" s="587">
        <v>-1.5966055145969216</v>
      </c>
      <c r="AA98" s="548"/>
      <c r="AB98" s="548"/>
      <c r="AC98" s="374"/>
      <c r="AD98" s="865"/>
    </row>
    <row r="99" spans="1:31" s="92" customFormat="1" ht="12.75">
      <c r="A99" s="93"/>
      <c r="B99" s="375"/>
      <c r="C99" s="103"/>
      <c r="D99" s="557" t="s">
        <v>8</v>
      </c>
      <c r="E99" s="588">
        <v>0.03278688524590164</v>
      </c>
      <c r="F99" s="548"/>
      <c r="G99" s="577"/>
      <c r="H99" s="577"/>
      <c r="I99" s="576"/>
      <c r="J99" s="548"/>
      <c r="K99" s="589">
        <v>0.058519793459552494</v>
      </c>
      <c r="L99" s="548"/>
      <c r="M99" s="548"/>
      <c r="N99" s="548"/>
      <c r="O99" s="575"/>
      <c r="P99" s="548"/>
      <c r="Q99" s="557" t="s">
        <v>8</v>
      </c>
      <c r="R99" s="588">
        <v>0.12661870503597122</v>
      </c>
      <c r="S99" s="548"/>
      <c r="T99" s="552"/>
      <c r="U99" s="548"/>
      <c r="V99" s="829">
        <v>0.12949640287769784</v>
      </c>
      <c r="W99" s="548"/>
      <c r="X99" s="590">
        <v>9.383181979006958</v>
      </c>
      <c r="Y99" s="548"/>
      <c r="Z99" s="590">
        <v>7.097660941814535</v>
      </c>
      <c r="AA99" s="548"/>
      <c r="AB99" s="548"/>
      <c r="AC99" s="374"/>
      <c r="AD99" s="886"/>
      <c r="AE99" s="88"/>
    </row>
    <row r="100" spans="1:31" s="92" customFormat="1" ht="12.75">
      <c r="A100" s="93"/>
      <c r="B100" s="375"/>
      <c r="C100" s="103"/>
      <c r="D100" s="557" t="s">
        <v>31</v>
      </c>
      <c r="E100" s="588">
        <v>0.20557491289198607</v>
      </c>
      <c r="F100" s="379"/>
      <c r="G100" s="280"/>
      <c r="H100" s="280"/>
      <c r="I100" s="591"/>
      <c r="J100" s="379"/>
      <c r="K100" s="589">
        <v>0.21034077555816685</v>
      </c>
      <c r="L100" s="379"/>
      <c r="M100" s="379"/>
      <c r="N100" s="379"/>
      <c r="O100" s="380"/>
      <c r="P100" s="379"/>
      <c r="Q100" s="557" t="s">
        <v>31</v>
      </c>
      <c r="R100" s="588">
        <v>0.25193798449612403</v>
      </c>
      <c r="S100" s="379"/>
      <c r="T100" s="383"/>
      <c r="U100" s="379"/>
      <c r="V100" s="829">
        <v>0.25193798449612403</v>
      </c>
      <c r="W100" s="379"/>
      <c r="X100" s="590">
        <v>4.636307160413796</v>
      </c>
      <c r="Y100" s="379"/>
      <c r="Z100" s="590">
        <v>4.159720893795718</v>
      </c>
      <c r="AA100" s="379"/>
      <c r="AB100" s="379"/>
      <c r="AC100" s="374"/>
      <c r="AD100" s="886"/>
      <c r="AE100" s="88"/>
    </row>
    <row r="101" spans="1:30" ht="12.75">
      <c r="A101" s="571"/>
      <c r="B101" s="375"/>
      <c r="C101" s="103"/>
      <c r="D101" s="557" t="s">
        <v>89</v>
      </c>
      <c r="E101" s="588">
        <v>-0.5306122448979592</v>
      </c>
      <c r="F101" s="379"/>
      <c r="G101" s="280"/>
      <c r="H101" s="280"/>
      <c r="I101" s="591"/>
      <c r="J101" s="379"/>
      <c r="K101" s="589">
        <v>-0.4897959183673469</v>
      </c>
      <c r="L101" s="379"/>
      <c r="M101" s="379"/>
      <c r="N101" s="379"/>
      <c r="O101" s="380"/>
      <c r="P101" s="379"/>
      <c r="Q101" s="557" t="s">
        <v>89</v>
      </c>
      <c r="R101" s="588">
        <v>-0.168</v>
      </c>
      <c r="S101" s="379"/>
      <c r="T101" s="383"/>
      <c r="U101" s="379"/>
      <c r="V101" s="829">
        <v>-0.16</v>
      </c>
      <c r="W101" s="379"/>
      <c r="X101" s="590">
        <v>36.26122448979592</v>
      </c>
      <c r="Y101" s="379"/>
      <c r="Z101" s="590">
        <v>32.97959183673469</v>
      </c>
      <c r="AA101" s="379"/>
      <c r="AB101" s="379"/>
      <c r="AC101" s="374"/>
      <c r="AD101" s="865"/>
    </row>
    <row r="102" spans="1:30" ht="12.75">
      <c r="A102" s="571"/>
      <c r="B102" s="375"/>
      <c r="C102" s="103"/>
      <c r="D102" s="557" t="s">
        <v>9</v>
      </c>
      <c r="E102" s="588">
        <v>-0.12264150943396226</v>
      </c>
      <c r="F102" s="379"/>
      <c r="G102" s="280"/>
      <c r="H102" s="280"/>
      <c r="I102" s="591"/>
      <c r="J102" s="379"/>
      <c r="K102" s="589">
        <v>-0.09433962264150944</v>
      </c>
      <c r="L102" s="379"/>
      <c r="M102" s="379"/>
      <c r="N102" s="379"/>
      <c r="O102" s="380"/>
      <c r="P102" s="379"/>
      <c r="Q102" s="557" t="s">
        <v>9</v>
      </c>
      <c r="R102" s="588">
        <v>-0.08854166666666667</v>
      </c>
      <c r="S102" s="379"/>
      <c r="T102" s="383"/>
      <c r="U102" s="379"/>
      <c r="V102" s="829">
        <v>-0.08854166666666667</v>
      </c>
      <c r="W102" s="379"/>
      <c r="X102" s="590">
        <v>3.4099842767295594</v>
      </c>
      <c r="Y102" s="379"/>
      <c r="Z102" s="590">
        <v>0.579795597484277</v>
      </c>
      <c r="AA102" s="379"/>
      <c r="AB102" s="379"/>
      <c r="AC102" s="374"/>
      <c r="AD102" s="865"/>
    </row>
    <row r="103" spans="1:30" ht="12.75">
      <c r="A103" s="571"/>
      <c r="B103" s="185"/>
      <c r="C103" s="111"/>
      <c r="D103" s="272" t="s">
        <v>10</v>
      </c>
      <c r="E103" s="281">
        <v>0.42504075643951744</v>
      </c>
      <c r="F103" s="592"/>
      <c r="G103" s="593"/>
      <c r="H103" s="593"/>
      <c r="I103" s="594"/>
      <c r="J103" s="100"/>
      <c r="K103" s="282">
        <v>0.4285159285159285</v>
      </c>
      <c r="L103" s="100"/>
      <c r="M103" s="100"/>
      <c r="N103" s="100"/>
      <c r="O103" s="595"/>
      <c r="P103" s="100"/>
      <c r="Q103" s="272" t="s">
        <v>10</v>
      </c>
      <c r="R103" s="281">
        <v>0.4068519715578539</v>
      </c>
      <c r="S103" s="100"/>
      <c r="T103" s="593"/>
      <c r="U103" s="100"/>
      <c r="V103" s="830">
        <v>0.4157724628312864</v>
      </c>
      <c r="W103" s="100"/>
      <c r="X103" s="596">
        <v>-1.8188784881663533</v>
      </c>
      <c r="Y103" s="100"/>
      <c r="Z103" s="596">
        <v>-1.274346568464213</v>
      </c>
      <c r="AA103" s="100"/>
      <c r="AB103" s="100"/>
      <c r="AC103" s="202"/>
      <c r="AD103" s="865"/>
    </row>
    <row r="104" spans="1:30" ht="12.75">
      <c r="A104" s="571"/>
      <c r="B104" s="185"/>
      <c r="C104" s="111"/>
      <c r="D104" s="283"/>
      <c r="E104" s="284"/>
      <c r="F104" s="100"/>
      <c r="G104" s="597"/>
      <c r="H104" s="597"/>
      <c r="I104" s="598"/>
      <c r="J104" s="100"/>
      <c r="K104" s="597"/>
      <c r="L104" s="100"/>
      <c r="M104" s="100"/>
      <c r="N104" s="100"/>
      <c r="O104" s="595"/>
      <c r="P104" s="100"/>
      <c r="Q104" s="283"/>
      <c r="R104" s="284"/>
      <c r="S104" s="100"/>
      <c r="T104" s="597"/>
      <c r="U104" s="100"/>
      <c r="V104" s="831"/>
      <c r="W104" s="100"/>
      <c r="X104" s="599"/>
      <c r="Y104" s="100"/>
      <c r="Z104" s="599"/>
      <c r="AA104" s="100"/>
      <c r="AB104" s="100"/>
      <c r="AC104" s="202"/>
      <c r="AD104" s="865"/>
    </row>
    <row r="105" spans="1:30" ht="12.75">
      <c r="A105" s="571"/>
      <c r="B105" s="185"/>
      <c r="C105" s="111"/>
      <c r="D105" s="258" t="s">
        <v>47</v>
      </c>
      <c r="E105" s="376"/>
      <c r="F105" s="234"/>
      <c r="G105" s="279"/>
      <c r="H105" s="279"/>
      <c r="I105" s="572"/>
      <c r="J105" s="234"/>
      <c r="K105" s="377"/>
      <c r="L105" s="234"/>
      <c r="M105" s="234"/>
      <c r="N105" s="234"/>
      <c r="O105" s="378"/>
      <c r="P105" s="234"/>
      <c r="Q105" s="258" t="s">
        <v>47</v>
      </c>
      <c r="R105" s="376"/>
      <c r="S105" s="234"/>
      <c r="T105" s="377"/>
      <c r="U105" s="234"/>
      <c r="V105" s="827"/>
      <c r="W105" s="234"/>
      <c r="X105" s="243"/>
      <c r="Y105" s="234"/>
      <c r="Z105" s="243"/>
      <c r="AA105" s="234"/>
      <c r="AB105" s="234"/>
      <c r="AC105" s="202"/>
      <c r="AD105" s="865"/>
    </row>
    <row r="106" spans="1:30" ht="12.75">
      <c r="A106" s="571"/>
      <c r="B106" s="375"/>
      <c r="C106" s="103"/>
      <c r="D106" s="542" t="s">
        <v>7</v>
      </c>
      <c r="E106" s="600">
        <v>4037</v>
      </c>
      <c r="F106" s="573"/>
      <c r="G106" s="544">
        <v>-8</v>
      </c>
      <c r="H106" s="544"/>
      <c r="I106" s="574">
        <v>-44</v>
      </c>
      <c r="J106" s="548"/>
      <c r="K106" s="544">
        <v>3985</v>
      </c>
      <c r="L106" s="548"/>
      <c r="M106" s="548"/>
      <c r="N106" s="548"/>
      <c r="O106" s="575"/>
      <c r="P106" s="548"/>
      <c r="Q106" s="542" t="s">
        <v>7</v>
      </c>
      <c r="R106" s="600">
        <v>3456</v>
      </c>
      <c r="S106" s="548"/>
      <c r="T106" s="544">
        <v>124</v>
      </c>
      <c r="U106" s="548"/>
      <c r="V106" s="547">
        <v>3580</v>
      </c>
      <c r="W106" s="548"/>
      <c r="X106" s="549">
        <v>-0.14391875154817935</v>
      </c>
      <c r="Y106" s="548"/>
      <c r="Z106" s="549">
        <v>-0.1016311166875784</v>
      </c>
      <c r="AA106" s="548"/>
      <c r="AB106" s="548"/>
      <c r="AC106" s="373"/>
      <c r="AD106" s="865"/>
    </row>
    <row r="107" spans="1:30" ht="12.75">
      <c r="A107" s="571"/>
      <c r="B107" s="375"/>
      <c r="C107" s="103"/>
      <c r="D107" s="557" t="s">
        <v>8</v>
      </c>
      <c r="E107" s="561">
        <v>-78</v>
      </c>
      <c r="F107" s="548"/>
      <c r="G107" s="552">
        <v>17</v>
      </c>
      <c r="H107" s="552"/>
      <c r="I107" s="576"/>
      <c r="J107" s="548"/>
      <c r="K107" s="552">
        <v>-61</v>
      </c>
      <c r="L107" s="548"/>
      <c r="M107" s="548"/>
      <c r="N107" s="548"/>
      <c r="O107" s="575"/>
      <c r="P107" s="548"/>
      <c r="Q107" s="557" t="s">
        <v>8</v>
      </c>
      <c r="R107" s="561">
        <v>-52</v>
      </c>
      <c r="S107" s="548"/>
      <c r="T107" s="552">
        <v>2</v>
      </c>
      <c r="U107" s="548"/>
      <c r="V107" s="555">
        <v>-50</v>
      </c>
      <c r="W107" s="548"/>
      <c r="X107" s="556">
        <v>0.33333333333333337</v>
      </c>
      <c r="Y107" s="548"/>
      <c r="Z107" s="556">
        <v>-0.180327868852459</v>
      </c>
      <c r="AA107" s="548"/>
      <c r="AB107" s="548"/>
      <c r="AC107" s="373"/>
      <c r="AD107" s="865"/>
    </row>
    <row r="108" spans="1:30" ht="12.75">
      <c r="A108" s="571"/>
      <c r="B108" s="375"/>
      <c r="C108" s="103"/>
      <c r="D108" s="557" t="s">
        <v>31</v>
      </c>
      <c r="E108" s="561">
        <v>-78</v>
      </c>
      <c r="F108" s="548"/>
      <c r="G108" s="577"/>
      <c r="H108" s="552">
        <v>-1</v>
      </c>
      <c r="I108" s="576">
        <v>9</v>
      </c>
      <c r="J108" s="548"/>
      <c r="K108" s="552">
        <v>-70</v>
      </c>
      <c r="L108" s="548"/>
      <c r="M108" s="548"/>
      <c r="N108" s="548"/>
      <c r="O108" s="575"/>
      <c r="P108" s="548"/>
      <c r="Q108" s="557" t="s">
        <v>31</v>
      </c>
      <c r="R108" s="561">
        <v>69</v>
      </c>
      <c r="S108" s="548"/>
      <c r="T108" s="552"/>
      <c r="U108" s="548"/>
      <c r="V108" s="555">
        <v>69</v>
      </c>
      <c r="W108" s="548"/>
      <c r="X108" s="556">
        <v>1.8846153846153846</v>
      </c>
      <c r="Y108" s="548"/>
      <c r="Z108" s="556"/>
      <c r="AA108" s="548"/>
      <c r="AB108" s="548"/>
      <c r="AC108" s="373"/>
      <c r="AD108" s="865"/>
    </row>
    <row r="109" spans="1:30" ht="12.75">
      <c r="A109" s="571"/>
      <c r="B109" s="375"/>
      <c r="C109" s="103"/>
      <c r="D109" s="557" t="s">
        <v>89</v>
      </c>
      <c r="E109" s="561">
        <v>-79</v>
      </c>
      <c r="F109" s="548"/>
      <c r="G109" s="577"/>
      <c r="H109" s="552"/>
      <c r="I109" s="576">
        <v>5</v>
      </c>
      <c r="J109" s="548"/>
      <c r="K109" s="552">
        <v>-74</v>
      </c>
      <c r="L109" s="379"/>
      <c r="M109" s="379"/>
      <c r="N109" s="379"/>
      <c r="O109" s="380"/>
      <c r="P109" s="379"/>
      <c r="Q109" s="557" t="s">
        <v>89</v>
      </c>
      <c r="R109" s="561">
        <v>-52</v>
      </c>
      <c r="S109" s="548"/>
      <c r="T109" s="552">
        <v>1</v>
      </c>
      <c r="U109" s="548"/>
      <c r="V109" s="555">
        <v>-51</v>
      </c>
      <c r="W109" s="379"/>
      <c r="X109" s="556">
        <v>0.3417721518987342</v>
      </c>
      <c r="Y109" s="379"/>
      <c r="Z109" s="556">
        <v>0.31081081081081086</v>
      </c>
      <c r="AA109" s="379"/>
      <c r="AB109" s="379"/>
      <c r="AC109" s="373"/>
      <c r="AD109" s="865"/>
    </row>
    <row r="110" spans="1:30" ht="12.75">
      <c r="A110" s="571"/>
      <c r="B110" s="375"/>
      <c r="C110" s="103"/>
      <c r="D110" s="557" t="s">
        <v>9</v>
      </c>
      <c r="E110" s="561">
        <v>-35</v>
      </c>
      <c r="F110" s="548"/>
      <c r="G110" s="552">
        <v>1</v>
      </c>
      <c r="H110" s="552">
        <v>-2</v>
      </c>
      <c r="I110" s="576">
        <v>7</v>
      </c>
      <c r="J110" s="548"/>
      <c r="K110" s="552">
        <v>-29</v>
      </c>
      <c r="L110" s="548"/>
      <c r="M110" s="548"/>
      <c r="N110" s="548"/>
      <c r="O110" s="575"/>
      <c r="P110" s="548"/>
      <c r="Q110" s="557" t="s">
        <v>9</v>
      </c>
      <c r="R110" s="561">
        <v>-24</v>
      </c>
      <c r="S110" s="548"/>
      <c r="T110" s="552">
        <v>-1</v>
      </c>
      <c r="U110" s="548"/>
      <c r="V110" s="555">
        <v>-25</v>
      </c>
      <c r="W110" s="548"/>
      <c r="X110" s="556">
        <v>0.3142857142857143</v>
      </c>
      <c r="Y110" s="548"/>
      <c r="Z110" s="556">
        <v>0.13793103448275867</v>
      </c>
      <c r="AA110" s="548"/>
      <c r="AB110" s="548"/>
      <c r="AC110" s="373"/>
      <c r="AD110" s="865"/>
    </row>
    <row r="111" spans="1:31" ht="12.75">
      <c r="A111" s="571"/>
      <c r="B111" s="375"/>
      <c r="C111" s="103"/>
      <c r="D111" s="557" t="s">
        <v>187</v>
      </c>
      <c r="E111" s="561">
        <v>28</v>
      </c>
      <c r="F111" s="548"/>
      <c r="G111" s="577"/>
      <c r="H111" s="552">
        <v>-3</v>
      </c>
      <c r="I111" s="576">
        <v>-28</v>
      </c>
      <c r="J111" s="548"/>
      <c r="K111" s="552">
        <v>-3</v>
      </c>
      <c r="L111" s="548"/>
      <c r="M111" s="548"/>
      <c r="N111" s="548"/>
      <c r="O111" s="575"/>
      <c r="P111" s="548"/>
      <c r="Q111" s="557" t="s">
        <v>187</v>
      </c>
      <c r="R111" s="561">
        <v>25</v>
      </c>
      <c r="S111" s="548"/>
      <c r="T111" s="552"/>
      <c r="U111" s="548"/>
      <c r="V111" s="555">
        <v>25</v>
      </c>
      <c r="W111" s="548"/>
      <c r="X111" s="556">
        <v>-0.1071428571428571</v>
      </c>
      <c r="Y111" s="548"/>
      <c r="Z111" s="601" t="s">
        <v>141</v>
      </c>
      <c r="AA111" s="548"/>
      <c r="AB111" s="548"/>
      <c r="AC111" s="373"/>
      <c r="AD111" s="865"/>
      <c r="AE111" s="97"/>
    </row>
    <row r="112" spans="1:31" s="97" customFormat="1" ht="12.75">
      <c r="A112" s="615"/>
      <c r="B112" s="441"/>
      <c r="C112" s="100"/>
      <c r="D112" s="619" t="s">
        <v>188</v>
      </c>
      <c r="E112" s="561">
        <v>6</v>
      </c>
      <c r="F112" s="548"/>
      <c r="G112" s="577"/>
      <c r="H112" s="552"/>
      <c r="I112" s="576">
        <v>25</v>
      </c>
      <c r="J112" s="548"/>
      <c r="K112" s="552">
        <v>31</v>
      </c>
      <c r="L112" s="548"/>
      <c r="M112" s="548"/>
      <c r="N112" s="548"/>
      <c r="O112" s="575"/>
      <c r="P112" s="548"/>
      <c r="Q112" s="619" t="s">
        <v>188</v>
      </c>
      <c r="R112" s="561">
        <v>27</v>
      </c>
      <c r="S112" s="548"/>
      <c r="T112" s="552"/>
      <c r="U112" s="548"/>
      <c r="V112" s="555">
        <v>27</v>
      </c>
      <c r="W112" s="548"/>
      <c r="X112" s="556"/>
      <c r="Y112" s="548"/>
      <c r="Z112" s="556"/>
      <c r="AA112" s="548"/>
      <c r="AB112" s="548"/>
      <c r="AC112" s="618"/>
      <c r="AD112" s="885"/>
      <c r="AE112" s="88"/>
    </row>
    <row r="113" spans="1:30" ht="12.75">
      <c r="A113" s="571"/>
      <c r="B113" s="375"/>
      <c r="C113" s="103"/>
      <c r="D113" s="272" t="s">
        <v>10</v>
      </c>
      <c r="E113" s="396">
        <v>3801</v>
      </c>
      <c r="F113" s="579"/>
      <c r="G113" s="274">
        <v>10</v>
      </c>
      <c r="H113" s="275">
        <v>-6</v>
      </c>
      <c r="I113" s="580">
        <v>-26</v>
      </c>
      <c r="J113" s="548"/>
      <c r="K113" s="275">
        <v>3779</v>
      </c>
      <c r="L113" s="548"/>
      <c r="M113" s="548"/>
      <c r="N113" s="548"/>
      <c r="O113" s="575"/>
      <c r="P113" s="548"/>
      <c r="Q113" s="272" t="s">
        <v>10</v>
      </c>
      <c r="R113" s="384">
        <v>3449</v>
      </c>
      <c r="S113" s="548"/>
      <c r="T113" s="381">
        <v>126</v>
      </c>
      <c r="U113" s="548"/>
      <c r="V113" s="276">
        <v>3575</v>
      </c>
      <c r="W113" s="548"/>
      <c r="X113" s="285">
        <v>-0.09260720862930805</v>
      </c>
      <c r="Y113" s="548"/>
      <c r="Z113" s="277">
        <v>-0.053982535062185755</v>
      </c>
      <c r="AA113" s="548"/>
      <c r="AB113" s="548"/>
      <c r="AC113" s="374"/>
      <c r="AD113" s="865"/>
    </row>
    <row r="114" spans="1:30" ht="12.75">
      <c r="A114" s="571"/>
      <c r="B114" s="375"/>
      <c r="C114" s="103"/>
      <c r="D114" s="581"/>
      <c r="E114" s="561"/>
      <c r="F114" s="548"/>
      <c r="G114" s="577"/>
      <c r="H114" s="577"/>
      <c r="I114" s="576"/>
      <c r="J114" s="548"/>
      <c r="K114" s="552"/>
      <c r="L114" s="548"/>
      <c r="M114" s="548"/>
      <c r="N114" s="548"/>
      <c r="O114" s="575"/>
      <c r="P114" s="548"/>
      <c r="Q114" s="581"/>
      <c r="R114" s="561"/>
      <c r="S114" s="548"/>
      <c r="T114" s="552"/>
      <c r="U114" s="548"/>
      <c r="V114" s="555"/>
      <c r="W114" s="548"/>
      <c r="X114" s="578"/>
      <c r="Y114" s="548"/>
      <c r="Z114" s="578"/>
      <c r="AA114" s="548"/>
      <c r="AB114" s="548"/>
      <c r="AC114" s="374"/>
      <c r="AD114" s="865"/>
    </row>
    <row r="115" spans="1:30" ht="12.75">
      <c r="A115" s="571"/>
      <c r="B115" s="375"/>
      <c r="C115" s="103"/>
      <c r="D115" s="258" t="s">
        <v>69</v>
      </c>
      <c r="E115" s="583"/>
      <c r="F115" s="548"/>
      <c r="G115" s="577"/>
      <c r="H115" s="577"/>
      <c r="I115" s="576"/>
      <c r="J115" s="548"/>
      <c r="K115" s="552"/>
      <c r="L115" s="548"/>
      <c r="M115" s="548"/>
      <c r="N115" s="548"/>
      <c r="O115" s="575"/>
      <c r="P115" s="548"/>
      <c r="Q115" s="258" t="s">
        <v>69</v>
      </c>
      <c r="R115" s="583"/>
      <c r="S115" s="548"/>
      <c r="T115" s="552"/>
      <c r="U115" s="548"/>
      <c r="V115" s="555"/>
      <c r="W115" s="548"/>
      <c r="X115" s="578"/>
      <c r="Y115" s="548"/>
      <c r="Z115" s="578"/>
      <c r="AA115" s="548"/>
      <c r="AB115" s="548"/>
      <c r="AC115" s="374"/>
      <c r="AD115" s="865"/>
    </row>
    <row r="116" spans="1:30" ht="12.75">
      <c r="A116" s="571"/>
      <c r="B116" s="375"/>
      <c r="C116" s="103"/>
      <c r="D116" s="542" t="s">
        <v>7</v>
      </c>
      <c r="E116" s="584">
        <v>0.31350469829929334</v>
      </c>
      <c r="F116" s="573"/>
      <c r="G116" s="585"/>
      <c r="H116" s="585"/>
      <c r="I116" s="574"/>
      <c r="J116" s="548"/>
      <c r="K116" s="586">
        <v>0.3098514889977451</v>
      </c>
      <c r="L116" s="548"/>
      <c r="M116" s="548"/>
      <c r="N116" s="548"/>
      <c r="O116" s="575"/>
      <c r="P116" s="548"/>
      <c r="Q116" s="542" t="s">
        <v>7</v>
      </c>
      <c r="R116" s="584">
        <v>0.28369725824987685</v>
      </c>
      <c r="S116" s="548"/>
      <c r="T116" s="544"/>
      <c r="U116" s="548"/>
      <c r="V116" s="828">
        <v>0.29387621080282383</v>
      </c>
      <c r="W116" s="548"/>
      <c r="X116" s="587">
        <v>-2.980744004941649</v>
      </c>
      <c r="Y116" s="548"/>
      <c r="Z116" s="587">
        <v>-1.5975278194921283</v>
      </c>
      <c r="AA116" s="548"/>
      <c r="AB116" s="548"/>
      <c r="AC116" s="374"/>
      <c r="AD116" s="865"/>
    </row>
    <row r="117" spans="1:30" ht="12.75">
      <c r="A117" s="571"/>
      <c r="B117" s="375"/>
      <c r="C117" s="103"/>
      <c r="D117" s="557" t="s">
        <v>8</v>
      </c>
      <c r="E117" s="588">
        <v>-0.18266978922716628</v>
      </c>
      <c r="F117" s="548"/>
      <c r="G117" s="577"/>
      <c r="H117" s="577"/>
      <c r="I117" s="576"/>
      <c r="J117" s="548"/>
      <c r="K117" s="589">
        <v>-0.10499139414802065</v>
      </c>
      <c r="L117" s="548"/>
      <c r="M117" s="548"/>
      <c r="N117" s="548"/>
      <c r="O117" s="575"/>
      <c r="P117" s="548"/>
      <c r="Q117" s="557" t="s">
        <v>8</v>
      </c>
      <c r="R117" s="588">
        <v>-0.07482014388489208</v>
      </c>
      <c r="S117" s="548"/>
      <c r="T117" s="552"/>
      <c r="U117" s="548"/>
      <c r="V117" s="829">
        <v>-0.07194244604316546</v>
      </c>
      <c r="W117" s="548"/>
      <c r="X117" s="590">
        <v>10.78496453422742</v>
      </c>
      <c r="Y117" s="548"/>
      <c r="Z117" s="590">
        <v>3.3048948104855187</v>
      </c>
      <c r="AA117" s="548"/>
      <c r="AB117" s="548"/>
      <c r="AC117" s="374"/>
      <c r="AD117" s="865"/>
    </row>
    <row r="118" spans="1:30" ht="12.75">
      <c r="A118" s="571"/>
      <c r="B118" s="375"/>
      <c r="C118" s="103"/>
      <c r="D118" s="557" t="s">
        <v>31</v>
      </c>
      <c r="E118" s="588">
        <v>-0.04529616724738676</v>
      </c>
      <c r="F118" s="548"/>
      <c r="G118" s="577"/>
      <c r="H118" s="577"/>
      <c r="I118" s="576"/>
      <c r="J118" s="548"/>
      <c r="K118" s="589">
        <v>-0.041128084606345476</v>
      </c>
      <c r="L118" s="548"/>
      <c r="M118" s="548"/>
      <c r="N118" s="548"/>
      <c r="O118" s="575"/>
      <c r="P118" s="548"/>
      <c r="Q118" s="557" t="s">
        <v>31</v>
      </c>
      <c r="R118" s="588">
        <v>0.029715762273901807</v>
      </c>
      <c r="S118" s="548"/>
      <c r="T118" s="552"/>
      <c r="U118" s="548"/>
      <c r="V118" s="829">
        <v>0.029715762273901807</v>
      </c>
      <c r="W118" s="548"/>
      <c r="X118" s="590">
        <v>7.501192952128857</v>
      </c>
      <c r="Y118" s="379"/>
      <c r="Z118" s="590">
        <v>7.084384688024728</v>
      </c>
      <c r="AA118" s="548"/>
      <c r="AB118" s="548"/>
      <c r="AC118" s="374"/>
      <c r="AD118" s="865"/>
    </row>
    <row r="119" spans="1:30" ht="12.75">
      <c r="A119" s="571"/>
      <c r="B119" s="375"/>
      <c r="C119" s="103"/>
      <c r="D119" s="557" t="s">
        <v>89</v>
      </c>
      <c r="E119" s="588">
        <v>-0.8061224489795918</v>
      </c>
      <c r="F119" s="548"/>
      <c r="G119" s="577"/>
      <c r="H119" s="577"/>
      <c r="I119" s="576"/>
      <c r="J119" s="548"/>
      <c r="K119" s="589">
        <v>-0.7551020408163265</v>
      </c>
      <c r="L119" s="548"/>
      <c r="M119" s="548"/>
      <c r="N119" s="548"/>
      <c r="O119" s="575"/>
      <c r="P119" s="548"/>
      <c r="Q119" s="557" t="s">
        <v>89</v>
      </c>
      <c r="R119" s="588">
        <v>-0.416</v>
      </c>
      <c r="S119" s="548"/>
      <c r="T119" s="552"/>
      <c r="U119" s="548"/>
      <c r="V119" s="829">
        <v>-0.408</v>
      </c>
      <c r="W119" s="548"/>
      <c r="X119" s="590">
        <v>39.012244897959185</v>
      </c>
      <c r="Y119" s="379"/>
      <c r="Z119" s="590">
        <v>34.710204081632654</v>
      </c>
      <c r="AA119" s="548"/>
      <c r="AB119" s="548"/>
      <c r="AC119" s="374"/>
      <c r="AD119" s="865"/>
    </row>
    <row r="120" spans="1:30" ht="12.75">
      <c r="A120" s="571"/>
      <c r="B120" s="375"/>
      <c r="C120" s="103"/>
      <c r="D120" s="557" t="s">
        <v>9</v>
      </c>
      <c r="E120" s="588">
        <v>-0.1650943396226415</v>
      </c>
      <c r="F120" s="548"/>
      <c r="G120" s="577"/>
      <c r="H120" s="577"/>
      <c r="I120" s="576"/>
      <c r="J120" s="548"/>
      <c r="K120" s="589">
        <v>-0.13679245283018868</v>
      </c>
      <c r="L120" s="548"/>
      <c r="M120" s="548"/>
      <c r="N120" s="548"/>
      <c r="O120" s="575"/>
      <c r="P120" s="548"/>
      <c r="Q120" s="557" t="s">
        <v>9</v>
      </c>
      <c r="R120" s="588">
        <v>-0.125</v>
      </c>
      <c r="S120" s="548"/>
      <c r="T120" s="552"/>
      <c r="U120" s="548"/>
      <c r="V120" s="829">
        <v>-0.13020833333333334</v>
      </c>
      <c r="W120" s="548"/>
      <c r="X120" s="590">
        <v>4.00943396226415</v>
      </c>
      <c r="Y120" s="379"/>
      <c r="Z120" s="590">
        <v>0.6584119496855334</v>
      </c>
      <c r="AA120" s="548"/>
      <c r="AB120" s="548"/>
      <c r="AC120" s="374"/>
      <c r="AD120" s="865"/>
    </row>
    <row r="121" spans="1:30" ht="12.75">
      <c r="A121" s="571"/>
      <c r="B121" s="375"/>
      <c r="C121" s="103"/>
      <c r="D121" s="272" t="s">
        <v>10</v>
      </c>
      <c r="E121" s="281">
        <v>0.24786436256928596</v>
      </c>
      <c r="F121" s="579"/>
      <c r="G121" s="602"/>
      <c r="H121" s="602"/>
      <c r="I121" s="603"/>
      <c r="J121" s="548"/>
      <c r="K121" s="282">
        <v>0.2446904946904947</v>
      </c>
      <c r="L121" s="548"/>
      <c r="M121" s="548"/>
      <c r="N121" s="548"/>
      <c r="O121" s="575"/>
      <c r="P121" s="548"/>
      <c r="Q121" s="272" t="s">
        <v>10</v>
      </c>
      <c r="R121" s="281">
        <v>0.22294764059469943</v>
      </c>
      <c r="S121" s="548"/>
      <c r="T121" s="562"/>
      <c r="U121" s="548"/>
      <c r="V121" s="830">
        <v>0.23109243697478993</v>
      </c>
      <c r="W121" s="548"/>
      <c r="X121" s="596">
        <v>-2.4916721974586524</v>
      </c>
      <c r="Y121" s="100"/>
      <c r="Z121" s="596">
        <v>-1.359805771570477</v>
      </c>
      <c r="AA121" s="548"/>
      <c r="AB121" s="548"/>
      <c r="AC121" s="374"/>
      <c r="AD121" s="865"/>
    </row>
    <row r="122" spans="1:30" ht="13.5" thickBot="1">
      <c r="A122" s="571"/>
      <c r="B122" s="375"/>
      <c r="C122" s="103"/>
      <c r="D122" s="286"/>
      <c r="E122" s="385"/>
      <c r="F122" s="385"/>
      <c r="G122" s="287"/>
      <c r="H122" s="287"/>
      <c r="I122" s="604"/>
      <c r="J122" s="385"/>
      <c r="K122" s="385"/>
      <c r="L122" s="385"/>
      <c r="M122" s="385"/>
      <c r="N122" s="385"/>
      <c r="O122" s="386"/>
      <c r="P122" s="379"/>
      <c r="Q122" s="288"/>
      <c r="R122" s="387"/>
      <c r="S122" s="387"/>
      <c r="T122" s="387"/>
      <c r="U122" s="387"/>
      <c r="V122" s="289"/>
      <c r="W122" s="379"/>
      <c r="X122" s="388"/>
      <c r="Y122" s="379"/>
      <c r="Z122" s="388"/>
      <c r="AA122" s="379"/>
      <c r="AB122" s="379"/>
      <c r="AC122" s="374"/>
      <c r="AD122" s="865"/>
    </row>
    <row r="123" spans="1:30" ht="13.5" thickTop="1">
      <c r="A123" s="571"/>
      <c r="B123" s="375"/>
      <c r="C123" s="103"/>
      <c r="D123" s="1533" t="s">
        <v>200</v>
      </c>
      <c r="E123" s="1533"/>
      <c r="F123" s="1533"/>
      <c r="G123" s="1533"/>
      <c r="H123" s="1533"/>
      <c r="I123" s="1533"/>
      <c r="J123" s="1533"/>
      <c r="K123" s="1533"/>
      <c r="L123" s="1533"/>
      <c r="M123" s="1533"/>
      <c r="N123" s="1533"/>
      <c r="O123" s="1533"/>
      <c r="P123" s="1533"/>
      <c r="Q123" s="1533"/>
      <c r="R123" s="1533"/>
      <c r="S123" s="1533"/>
      <c r="T123" s="1533"/>
      <c r="U123" s="1533"/>
      <c r="V123" s="1533"/>
      <c r="W123" s="1533"/>
      <c r="X123" s="1533"/>
      <c r="Y123" s="1533"/>
      <c r="Z123" s="1533"/>
      <c r="AA123" s="389"/>
      <c r="AB123" s="389"/>
      <c r="AC123" s="374"/>
      <c r="AD123" s="865"/>
    </row>
    <row r="124" spans="1:29" ht="12.75">
      <c r="A124" s="571"/>
      <c r="B124" s="375"/>
      <c r="C124" s="103"/>
      <c r="D124" s="1533"/>
      <c r="E124" s="1533"/>
      <c r="F124" s="1533"/>
      <c r="G124" s="1533"/>
      <c r="H124" s="1533"/>
      <c r="I124" s="1533"/>
      <c r="J124" s="1533"/>
      <c r="K124" s="1533"/>
      <c r="L124" s="1533"/>
      <c r="M124" s="1533"/>
      <c r="N124" s="1533"/>
      <c r="O124" s="1533"/>
      <c r="P124" s="1533"/>
      <c r="Q124" s="1533"/>
      <c r="R124" s="1533"/>
      <c r="S124" s="1533"/>
      <c r="T124" s="1533"/>
      <c r="U124" s="1533"/>
      <c r="V124" s="1533"/>
      <c r="W124" s="1533"/>
      <c r="X124" s="1533"/>
      <c r="Y124" s="1533"/>
      <c r="Z124" s="1533"/>
      <c r="AA124" s="389"/>
      <c r="AB124" s="389"/>
      <c r="AC124" s="374"/>
    </row>
    <row r="125" spans="1:31" ht="12.75">
      <c r="A125" s="571"/>
      <c r="B125" s="375"/>
      <c r="C125" s="103"/>
      <c r="D125" s="1542" t="s">
        <v>195</v>
      </c>
      <c r="E125" s="1543"/>
      <c r="F125" s="1543"/>
      <c r="G125" s="1543"/>
      <c r="H125" s="1543"/>
      <c r="I125" s="390" t="s">
        <v>86</v>
      </c>
      <c r="J125" s="390"/>
      <c r="K125" s="391" t="s">
        <v>148</v>
      </c>
      <c r="L125" s="389"/>
      <c r="M125" s="389"/>
      <c r="N125" s="389"/>
      <c r="O125" s="389"/>
      <c r="P125" s="389"/>
      <c r="Q125" s="264" t="s">
        <v>196</v>
      </c>
      <c r="R125" s="265"/>
      <c r="S125" s="265"/>
      <c r="T125" s="265"/>
      <c r="U125" s="265"/>
      <c r="V125" s="390" t="s">
        <v>86</v>
      </c>
      <c r="W125" s="390"/>
      <c r="X125" s="391" t="s">
        <v>148</v>
      </c>
      <c r="Y125" s="389"/>
      <c r="Z125" s="389"/>
      <c r="AA125" s="389"/>
      <c r="AB125" s="389"/>
      <c r="AC125" s="374"/>
      <c r="AE125" s="97"/>
    </row>
    <row r="126" spans="1:29" s="97" customFormat="1" ht="12.75">
      <c r="A126" s="615"/>
      <c r="B126" s="441"/>
      <c r="C126" s="100"/>
      <c r="D126" s="667" t="s">
        <v>336</v>
      </c>
      <c r="E126" s="379"/>
      <c r="F126" s="379"/>
      <c r="G126" s="401"/>
      <c r="H126" s="401"/>
      <c r="I126" s="661">
        <v>75</v>
      </c>
      <c r="J126" s="548"/>
      <c r="K126" s="561">
        <v>84</v>
      </c>
      <c r="L126" s="379"/>
      <c r="M126" s="379"/>
      <c r="N126" s="379"/>
      <c r="O126" s="379"/>
      <c r="P126" s="379"/>
      <c r="Q126" s="667" t="s">
        <v>336</v>
      </c>
      <c r="R126" s="379"/>
      <c r="S126" s="379"/>
      <c r="T126" s="401"/>
      <c r="U126" s="401"/>
      <c r="V126" s="548">
        <v>75</v>
      </c>
      <c r="W126" s="548"/>
      <c r="X126" s="561">
        <v>84</v>
      </c>
      <c r="Y126" s="379"/>
      <c r="Z126" s="379"/>
      <c r="AA126" s="379"/>
      <c r="AB126" s="379"/>
      <c r="AC126" s="442"/>
    </row>
    <row r="127" spans="1:29" s="97" customFormat="1" ht="12.75">
      <c r="A127" s="615"/>
      <c r="B127" s="441"/>
      <c r="C127" s="100"/>
      <c r="D127" s="620" t="s">
        <v>298</v>
      </c>
      <c r="E127" s="379"/>
      <c r="F127" s="379"/>
      <c r="G127" s="401"/>
      <c r="H127" s="401"/>
      <c r="I127" s="548"/>
      <c r="J127" s="379"/>
      <c r="K127" s="561">
        <v>33</v>
      </c>
      <c r="L127" s="379"/>
      <c r="M127" s="379"/>
      <c r="N127" s="379"/>
      <c r="O127" s="379"/>
      <c r="P127" s="379"/>
      <c r="Q127" s="620" t="s">
        <v>298</v>
      </c>
      <c r="R127" s="379"/>
      <c r="S127" s="379"/>
      <c r="T127" s="401"/>
      <c r="U127" s="401"/>
      <c r="V127" s="548"/>
      <c r="W127" s="379"/>
      <c r="X127" s="561">
        <v>33</v>
      </c>
      <c r="Y127" s="379"/>
      <c r="Z127" s="379"/>
      <c r="AA127" s="379"/>
      <c r="AB127" s="379"/>
      <c r="AC127" s="442"/>
    </row>
    <row r="128" spans="1:29" s="97" customFormat="1" ht="12.75">
      <c r="A128" s="615"/>
      <c r="B128" s="441"/>
      <c r="C128" s="100"/>
      <c r="D128" s="620" t="s">
        <v>299</v>
      </c>
      <c r="E128" s="379"/>
      <c r="F128" s="379"/>
      <c r="G128" s="401"/>
      <c r="H128" s="401"/>
      <c r="I128" s="548"/>
      <c r="J128" s="379"/>
      <c r="K128" s="561">
        <v>20</v>
      </c>
      <c r="L128" s="379"/>
      <c r="M128" s="379"/>
      <c r="N128" s="379"/>
      <c r="O128" s="379"/>
      <c r="P128" s="379"/>
      <c r="Q128" s="620" t="s">
        <v>299</v>
      </c>
      <c r="R128" s="379"/>
      <c r="S128" s="379"/>
      <c r="T128" s="401"/>
      <c r="U128" s="401"/>
      <c r="V128" s="548"/>
      <c r="W128" s="379"/>
      <c r="X128" s="561">
        <v>20</v>
      </c>
      <c r="Y128" s="379"/>
      <c r="Z128" s="379"/>
      <c r="AA128" s="379"/>
      <c r="AB128" s="379"/>
      <c r="AC128" s="442"/>
    </row>
    <row r="129" spans="1:29" s="97" customFormat="1" ht="12.75">
      <c r="A129" s="615"/>
      <c r="B129" s="441"/>
      <c r="C129" s="100"/>
      <c r="D129" s="620" t="s">
        <v>191</v>
      </c>
      <c r="E129" s="379"/>
      <c r="F129" s="379"/>
      <c r="G129" s="401"/>
      <c r="H129" s="401"/>
      <c r="I129" s="661">
        <v>9</v>
      </c>
      <c r="J129" s="548"/>
      <c r="K129" s="561"/>
      <c r="L129" s="379"/>
      <c r="M129" s="379"/>
      <c r="N129" s="379"/>
      <c r="O129" s="379"/>
      <c r="P129" s="379"/>
      <c r="Q129" s="620" t="s">
        <v>191</v>
      </c>
      <c r="R129" s="379"/>
      <c r="S129" s="379"/>
      <c r="T129" s="401"/>
      <c r="U129" s="401"/>
      <c r="V129" s="548">
        <v>9</v>
      </c>
      <c r="W129" s="548"/>
      <c r="X129" s="561"/>
      <c r="Y129" s="379"/>
      <c r="Z129" s="379"/>
      <c r="AA129" s="379"/>
      <c r="AB129" s="379"/>
      <c r="AC129" s="442"/>
    </row>
    <row r="130" spans="1:29" s="97" customFormat="1" ht="12.75">
      <c r="A130" s="615"/>
      <c r="B130" s="441"/>
      <c r="C130" s="100"/>
      <c r="D130" s="662" t="s">
        <v>192</v>
      </c>
      <c r="E130" s="379"/>
      <c r="F130" s="379"/>
      <c r="G130" s="401"/>
      <c r="H130" s="401"/>
      <c r="I130" s="661">
        <v>16</v>
      </c>
      <c r="J130" s="548"/>
      <c r="K130" s="561">
        <v>1</v>
      </c>
      <c r="L130" s="379"/>
      <c r="M130" s="379"/>
      <c r="N130" s="379"/>
      <c r="O130" s="379"/>
      <c r="P130" s="379"/>
      <c r="Q130" s="620" t="s">
        <v>193</v>
      </c>
      <c r="R130" s="379"/>
      <c r="S130" s="379"/>
      <c r="T130" s="401"/>
      <c r="U130" s="401"/>
      <c r="V130" s="548">
        <v>-123</v>
      </c>
      <c r="W130" s="548"/>
      <c r="X130" s="561"/>
      <c r="Y130" s="379"/>
      <c r="Z130" s="379"/>
      <c r="AA130" s="379"/>
      <c r="AB130" s="379"/>
      <c r="AC130" s="442"/>
    </row>
    <row r="131" spans="1:29" s="97" customFormat="1" ht="12.75">
      <c r="A131" s="615"/>
      <c r="B131" s="441"/>
      <c r="C131" s="100"/>
      <c r="D131" s="621" t="s">
        <v>139</v>
      </c>
      <c r="E131" s="402"/>
      <c r="F131" s="402"/>
      <c r="G131" s="403"/>
      <c r="H131" s="403"/>
      <c r="I131" s="631">
        <v>100</v>
      </c>
      <c r="J131" s="402"/>
      <c r="K131" s="384">
        <v>138</v>
      </c>
      <c r="L131" s="379"/>
      <c r="M131" s="379"/>
      <c r="N131" s="379"/>
      <c r="O131" s="379"/>
      <c r="P131" s="379"/>
      <c r="Q131" s="620" t="s">
        <v>194</v>
      </c>
      <c r="R131" s="379"/>
      <c r="S131" s="379"/>
      <c r="T131" s="401"/>
      <c r="U131" s="401"/>
      <c r="V131" s="548">
        <v>-27</v>
      </c>
      <c r="W131" s="548"/>
      <c r="X131" s="561">
        <v>-10</v>
      </c>
      <c r="Y131" s="379"/>
      <c r="Z131" s="379"/>
      <c r="AA131" s="379"/>
      <c r="AB131" s="379"/>
      <c r="AC131" s="442"/>
    </row>
    <row r="132" spans="1:29" s="97" customFormat="1" ht="12.75">
      <c r="A132" s="615"/>
      <c r="B132" s="441"/>
      <c r="C132" s="100"/>
      <c r="D132" s="622"/>
      <c r="E132" s="379"/>
      <c r="F132" s="379"/>
      <c r="G132" s="401"/>
      <c r="H132" s="401"/>
      <c r="I132" s="632"/>
      <c r="J132" s="379"/>
      <c r="K132" s="379"/>
      <c r="L132" s="379"/>
      <c r="M132" s="379"/>
      <c r="N132" s="379"/>
      <c r="O132" s="379"/>
      <c r="P132" s="379"/>
      <c r="Q132" s="620" t="s">
        <v>304</v>
      </c>
      <c r="R132" s="379"/>
      <c r="S132" s="379"/>
      <c r="T132" s="401"/>
      <c r="U132" s="401"/>
      <c r="V132" s="548">
        <v>25</v>
      </c>
      <c r="W132" s="548"/>
      <c r="X132" s="561"/>
      <c r="Y132" s="379"/>
      <c r="Z132" s="379"/>
      <c r="AA132" s="379"/>
      <c r="AB132" s="379"/>
      <c r="AC132" s="442"/>
    </row>
    <row r="133" spans="1:29" s="97" customFormat="1" ht="12.75">
      <c r="A133" s="615"/>
      <c r="B133" s="441"/>
      <c r="C133" s="100"/>
      <c r="D133" s="675"/>
      <c r="E133" s="675"/>
      <c r="F133" s="675"/>
      <c r="G133" s="675"/>
      <c r="H133" s="675"/>
      <c r="I133" s="675"/>
      <c r="J133" s="100"/>
      <c r="K133" s="675"/>
      <c r="L133" s="379"/>
      <c r="M133" s="379"/>
      <c r="N133" s="379"/>
      <c r="O133" s="379"/>
      <c r="P133" s="379"/>
      <c r="Q133" s="620" t="s">
        <v>192</v>
      </c>
      <c r="R133" s="379"/>
      <c r="S133" s="379"/>
      <c r="T133" s="401"/>
      <c r="U133" s="401"/>
      <c r="V133" s="548">
        <v>15</v>
      </c>
      <c r="W133" s="548"/>
      <c r="X133" s="561">
        <v>-1</v>
      </c>
      <c r="Y133" s="379"/>
      <c r="Z133" s="379"/>
      <c r="AA133" s="379"/>
      <c r="AB133" s="379"/>
      <c r="AC133" s="442"/>
    </row>
    <row r="134" spans="1:31" s="97" customFormat="1" ht="12.75">
      <c r="A134" s="615"/>
      <c r="B134" s="441"/>
      <c r="C134" s="100"/>
      <c r="D134" s="675"/>
      <c r="E134" s="675"/>
      <c r="F134" s="675"/>
      <c r="G134" s="675"/>
      <c r="H134" s="675"/>
      <c r="I134" s="675"/>
      <c r="J134" s="100"/>
      <c r="K134" s="675"/>
      <c r="L134" s="379"/>
      <c r="M134" s="379"/>
      <c r="N134" s="379"/>
      <c r="O134" s="379"/>
      <c r="P134" s="379"/>
      <c r="Q134" s="621" t="s">
        <v>139</v>
      </c>
      <c r="R134" s="402"/>
      <c r="S134" s="402"/>
      <c r="T134" s="403"/>
      <c r="U134" s="403"/>
      <c r="V134" s="402">
        <v>-26</v>
      </c>
      <c r="W134" s="402"/>
      <c r="X134" s="384">
        <v>126</v>
      </c>
      <c r="Y134" s="379"/>
      <c r="Z134" s="379"/>
      <c r="AA134" s="379"/>
      <c r="AB134" s="379"/>
      <c r="AC134" s="442"/>
      <c r="AE134" s="88"/>
    </row>
    <row r="135" spans="1:29" ht="12.75">
      <c r="A135" s="571"/>
      <c r="B135" s="375"/>
      <c r="C135" s="103"/>
      <c r="D135" s="245"/>
      <c r="E135" s="389"/>
      <c r="F135" s="389"/>
      <c r="G135" s="392"/>
      <c r="H135" s="392"/>
      <c r="I135" s="607"/>
      <c r="J135" s="389"/>
      <c r="K135" s="389"/>
      <c r="L135" s="389"/>
      <c r="M135" s="389"/>
      <c r="N135" s="389"/>
      <c r="O135" s="389"/>
      <c r="P135" s="389"/>
      <c r="Q135" s="389"/>
      <c r="R135" s="389"/>
      <c r="S135" s="389"/>
      <c r="T135" s="389"/>
      <c r="U135" s="389"/>
      <c r="V135" s="389"/>
      <c r="W135" s="389"/>
      <c r="X135" s="389"/>
      <c r="Y135" s="389"/>
      <c r="Z135" s="389"/>
      <c r="AA135" s="389"/>
      <c r="AB135" s="389"/>
      <c r="AC135" s="374"/>
    </row>
    <row r="136" spans="1:31" ht="12.75">
      <c r="A136" s="571"/>
      <c r="B136" s="397"/>
      <c r="C136" s="105"/>
      <c r="D136" s="297"/>
      <c r="E136" s="105"/>
      <c r="F136" s="106"/>
      <c r="G136" s="105"/>
      <c r="H136" s="105"/>
      <c r="I136" s="608"/>
      <c r="J136" s="106"/>
      <c r="K136" s="105"/>
      <c r="L136" s="105"/>
      <c r="M136" s="105"/>
      <c r="N136" s="235"/>
      <c r="O136" s="235"/>
      <c r="P136" s="235"/>
      <c r="Q136" s="105"/>
      <c r="R136" s="105"/>
      <c r="S136" s="105"/>
      <c r="T136" s="105"/>
      <c r="U136" s="105"/>
      <c r="V136" s="105"/>
      <c r="W136" s="235"/>
      <c r="X136" s="105"/>
      <c r="Y136" s="235"/>
      <c r="Z136" s="105"/>
      <c r="AA136" s="235"/>
      <c r="AB136" s="105"/>
      <c r="AC136" s="398"/>
      <c r="AE136" s="91"/>
    </row>
    <row r="137" spans="2:31" ht="12.75">
      <c r="B137" s="375"/>
      <c r="C137" s="103"/>
      <c r="D137" s="298"/>
      <c r="E137" s="103"/>
      <c r="F137" s="104"/>
      <c r="G137" s="103"/>
      <c r="H137" s="103"/>
      <c r="I137" s="609"/>
      <c r="J137" s="104"/>
      <c r="K137" s="103"/>
      <c r="L137" s="103"/>
      <c r="M137" s="103"/>
      <c r="N137" s="109"/>
      <c r="O137" s="109"/>
      <c r="P137" s="109"/>
      <c r="Q137" s="103"/>
      <c r="R137" s="103"/>
      <c r="S137" s="103"/>
      <c r="T137" s="103"/>
      <c r="U137" s="103"/>
      <c r="V137" s="103"/>
      <c r="W137" s="109"/>
      <c r="X137" s="103"/>
      <c r="Y137" s="109"/>
      <c r="Z137" s="103"/>
      <c r="AA137" s="109"/>
      <c r="AB137" s="103"/>
      <c r="AC137" s="374"/>
      <c r="AE137" s="91"/>
    </row>
    <row r="138" spans="2:31" ht="12.75">
      <c r="B138" s="375"/>
      <c r="C138" s="103"/>
      <c r="D138" s="298"/>
      <c r="E138" s="103"/>
      <c r="F138" s="104"/>
      <c r="G138" s="103"/>
      <c r="H138" s="103"/>
      <c r="I138" s="609"/>
      <c r="J138" s="104"/>
      <c r="K138" s="103"/>
      <c r="L138" s="103"/>
      <c r="M138" s="103"/>
      <c r="N138" s="109"/>
      <c r="O138" s="109"/>
      <c r="P138" s="109"/>
      <c r="Q138" s="103"/>
      <c r="R138" s="103"/>
      <c r="S138" s="103"/>
      <c r="T138" s="103"/>
      <c r="U138" s="103"/>
      <c r="V138" s="103"/>
      <c r="W138" s="109"/>
      <c r="X138" s="103"/>
      <c r="Y138" s="109"/>
      <c r="Z138" s="103"/>
      <c r="AA138" s="109"/>
      <c r="AB138" s="103"/>
      <c r="AC138" s="374"/>
      <c r="AE138" s="888"/>
    </row>
    <row r="139" spans="2:31" ht="12.75">
      <c r="B139" s="1514"/>
      <c r="C139" s="1515"/>
      <c r="D139" s="1515"/>
      <c r="E139" s="1515"/>
      <c r="F139" s="1515"/>
      <c r="G139" s="1515"/>
      <c r="H139" s="1515"/>
      <c r="I139" s="1515"/>
      <c r="J139" s="1515"/>
      <c r="K139" s="1515"/>
      <c r="L139" s="1515"/>
      <c r="M139" s="1515"/>
      <c r="N139" s="1515"/>
      <c r="O139" s="1515"/>
      <c r="P139" s="1515"/>
      <c r="Q139" s="1515"/>
      <c r="R139" s="1515"/>
      <c r="S139" s="1515"/>
      <c r="T139" s="1515"/>
      <c r="U139" s="1515"/>
      <c r="V139" s="1515"/>
      <c r="W139" s="1515"/>
      <c r="X139" s="1515"/>
      <c r="Y139" s="1515"/>
      <c r="Z139" s="1515"/>
      <c r="AA139" s="1515"/>
      <c r="AB139" s="1515"/>
      <c r="AC139" s="1516"/>
      <c r="AE139" s="889"/>
    </row>
    <row r="140" spans="2:31" ht="13.5" thickBot="1">
      <c r="B140" s="1537"/>
      <c r="C140" s="1538"/>
      <c r="D140" s="1538"/>
      <c r="E140" s="1538"/>
      <c r="F140" s="1538"/>
      <c r="G140" s="1538"/>
      <c r="H140" s="1538"/>
      <c r="I140" s="1538"/>
      <c r="J140" s="1538"/>
      <c r="K140" s="1538"/>
      <c r="L140" s="1538"/>
      <c r="M140" s="1538"/>
      <c r="N140" s="1538"/>
      <c r="O140" s="1538"/>
      <c r="P140" s="1538"/>
      <c r="Q140" s="1538"/>
      <c r="R140" s="1538"/>
      <c r="S140" s="1538"/>
      <c r="T140" s="1538"/>
      <c r="U140" s="1538"/>
      <c r="V140" s="1538"/>
      <c r="W140" s="1538"/>
      <c r="X140" s="1538"/>
      <c r="Y140" s="1538"/>
      <c r="Z140" s="1538"/>
      <c r="AA140" s="1538"/>
      <c r="AB140" s="1538"/>
      <c r="AC140" s="1539"/>
      <c r="AE140" s="890"/>
    </row>
    <row r="141" spans="2:31" ht="57" thickTop="1">
      <c r="B141" s="98"/>
      <c r="C141" s="240"/>
      <c r="D141" s="1487" t="s">
        <v>87</v>
      </c>
      <c r="E141" s="1470"/>
      <c r="F141" s="1470"/>
      <c r="G141" s="1470"/>
      <c r="H141" s="1470"/>
      <c r="I141" s="1470"/>
      <c r="J141" s="1470"/>
      <c r="K141" s="1470"/>
      <c r="L141" s="1470"/>
      <c r="M141" s="1470"/>
      <c r="N141" s="1470"/>
      <c r="O141" s="1471"/>
      <c r="P141" s="236"/>
      <c r="Q141" s="1487" t="s">
        <v>149</v>
      </c>
      <c r="R141" s="1470"/>
      <c r="S141" s="1470"/>
      <c r="T141" s="1470"/>
      <c r="U141" s="1470"/>
      <c r="V141" s="1471"/>
      <c r="W141" s="236"/>
      <c r="X141" s="244" t="s">
        <v>183</v>
      </c>
      <c r="Y141" s="246"/>
      <c r="Z141" s="244" t="s">
        <v>184</v>
      </c>
      <c r="AA141" s="246"/>
      <c r="AB141" s="244" t="s">
        <v>185</v>
      </c>
      <c r="AC141" s="99"/>
      <c r="AE141" s="891"/>
    </row>
    <row r="142" spans="2:31" ht="15.75">
      <c r="B142" s="369"/>
      <c r="C142" s="370"/>
      <c r="D142" s="1472"/>
      <c r="E142" s="1473"/>
      <c r="F142" s="1473"/>
      <c r="G142" s="1473"/>
      <c r="H142" s="1473"/>
      <c r="I142" s="1473"/>
      <c r="J142" s="1473"/>
      <c r="K142" s="1473"/>
      <c r="L142" s="1473"/>
      <c r="M142" s="1473"/>
      <c r="N142" s="1473"/>
      <c r="O142" s="1513"/>
      <c r="P142" s="237"/>
      <c r="Q142" s="1483"/>
      <c r="R142" s="1484"/>
      <c r="S142" s="107"/>
      <c r="T142" s="108"/>
      <c r="U142" s="107"/>
      <c r="V142" s="238"/>
      <c r="W142" s="237"/>
      <c r="X142" s="241"/>
      <c r="Y142" s="237"/>
      <c r="Z142" s="241"/>
      <c r="AA142" s="237"/>
      <c r="AB142" s="241"/>
      <c r="AC142" s="371"/>
      <c r="AE142" s="891"/>
    </row>
    <row r="143" spans="1:31" ht="39.75">
      <c r="A143" s="571"/>
      <c r="B143" s="185"/>
      <c r="C143" s="111"/>
      <c r="D143" s="1534" t="s">
        <v>332</v>
      </c>
      <c r="E143" s="1482"/>
      <c r="F143" s="239"/>
      <c r="G143" s="1480" t="s">
        <v>177</v>
      </c>
      <c r="H143" s="1481"/>
      <c r="I143" s="1482"/>
      <c r="J143" s="239"/>
      <c r="K143" s="259" t="s">
        <v>180</v>
      </c>
      <c r="L143" s="110"/>
      <c r="M143" s="259" t="s">
        <v>178</v>
      </c>
      <c r="N143" s="239"/>
      <c r="O143" s="260" t="s">
        <v>209</v>
      </c>
      <c r="P143" s="239"/>
      <c r="Q143" s="1534" t="s">
        <v>179</v>
      </c>
      <c r="R143" s="1482"/>
      <c r="S143" s="239"/>
      <c r="T143" s="257" t="s">
        <v>210</v>
      </c>
      <c r="U143" s="239"/>
      <c r="V143" s="261" t="s">
        <v>189</v>
      </c>
      <c r="W143" s="239"/>
      <c r="X143" s="841" t="s">
        <v>186</v>
      </c>
      <c r="Y143" s="239"/>
      <c r="Z143" s="841" t="s">
        <v>181</v>
      </c>
      <c r="AA143" s="239"/>
      <c r="AB143" s="841" t="s">
        <v>182</v>
      </c>
      <c r="AC143" s="202"/>
      <c r="AE143" s="891"/>
    </row>
    <row r="144" spans="1:31" ht="12.75">
      <c r="A144" s="571"/>
      <c r="B144" s="441"/>
      <c r="C144" s="100"/>
      <c r="D144" s="541" t="s">
        <v>11</v>
      </c>
      <c r="E144" s="263"/>
      <c r="F144" s="110"/>
      <c r="G144" s="1546" t="s">
        <v>175</v>
      </c>
      <c r="H144" s="1546" t="s">
        <v>174</v>
      </c>
      <c r="I144" s="1546" t="s">
        <v>211</v>
      </c>
      <c r="J144" s="110"/>
      <c r="K144" s="267"/>
      <c r="L144" s="110"/>
      <c r="M144" s="267"/>
      <c r="N144" s="110"/>
      <c r="O144" s="268"/>
      <c r="P144" s="110"/>
      <c r="Q144" s="541"/>
      <c r="R144" s="263"/>
      <c r="S144" s="110"/>
      <c r="T144" s="1202"/>
      <c r="U144" s="110"/>
      <c r="V144" s="268"/>
      <c r="W144" s="110"/>
      <c r="X144" s="242"/>
      <c r="Y144" s="110"/>
      <c r="Z144" s="242"/>
      <c r="AA144" s="110"/>
      <c r="AB144" s="242"/>
      <c r="AC144" s="442"/>
      <c r="AE144" s="891"/>
    </row>
    <row r="145" spans="1:31" ht="12.75">
      <c r="A145" s="571"/>
      <c r="B145" s="185"/>
      <c r="C145" s="111"/>
      <c r="D145" s="1519" t="s">
        <v>0</v>
      </c>
      <c r="E145" s="1520"/>
      <c r="F145" s="270"/>
      <c r="G145" s="1536"/>
      <c r="H145" s="1536"/>
      <c r="I145" s="1536"/>
      <c r="J145" s="234"/>
      <c r="K145" s="269"/>
      <c r="L145" s="270"/>
      <c r="M145" s="269"/>
      <c r="N145" s="270"/>
      <c r="O145" s="271"/>
      <c r="P145" s="234"/>
      <c r="Q145" s="1519" t="s">
        <v>0</v>
      </c>
      <c r="R145" s="1520"/>
      <c r="S145" s="234"/>
      <c r="T145" s="269"/>
      <c r="U145" s="234"/>
      <c r="V145" s="271"/>
      <c r="W145" s="234"/>
      <c r="X145" s="243"/>
      <c r="Y145" s="234"/>
      <c r="Z145" s="243"/>
      <c r="AA145" s="234"/>
      <c r="AB145" s="243"/>
      <c r="AC145" s="202"/>
      <c r="AE145" s="891"/>
    </row>
    <row r="146" spans="1:31" ht="12.75">
      <c r="A146" s="571"/>
      <c r="B146" s="375"/>
      <c r="C146" s="103"/>
      <c r="D146" s="542" t="s">
        <v>7</v>
      </c>
      <c r="E146" s="543">
        <v>19223</v>
      </c>
      <c r="F146" s="544"/>
      <c r="G146" s="544">
        <v>-10</v>
      </c>
      <c r="H146" s="544">
        <v>-17</v>
      </c>
      <c r="I146" s="545"/>
      <c r="J146" s="552"/>
      <c r="K146" s="546">
        <v>19196</v>
      </c>
      <c r="L146" s="544"/>
      <c r="M146" s="544">
        <v>373</v>
      </c>
      <c r="N146" s="544"/>
      <c r="O146" s="547">
        <v>18823</v>
      </c>
      <c r="P146" s="548"/>
      <c r="Q146" s="542" t="s">
        <v>7</v>
      </c>
      <c r="R146" s="543">
        <v>18108</v>
      </c>
      <c r="S146" s="548"/>
      <c r="T146" s="546"/>
      <c r="U146" s="548"/>
      <c r="V146" s="822">
        <v>18108</v>
      </c>
      <c r="W146" s="548"/>
      <c r="X146" s="549">
        <v>-0.058003433387088355</v>
      </c>
      <c r="Y146" s="548"/>
      <c r="Z146" s="549">
        <v>-0.05667847468222542</v>
      </c>
      <c r="AA146" s="548"/>
      <c r="AB146" s="549">
        <v>-0.03798544334059395</v>
      </c>
      <c r="AC146" s="373"/>
      <c r="AE146" s="891"/>
    </row>
    <row r="147" spans="1:31" ht="12.75">
      <c r="A147" s="571"/>
      <c r="B147" s="375"/>
      <c r="C147" s="103"/>
      <c r="D147" s="550" t="s">
        <v>145</v>
      </c>
      <c r="E147" s="551">
        <v>12707</v>
      </c>
      <c r="F147" s="552"/>
      <c r="G147" s="552">
        <v>-10</v>
      </c>
      <c r="H147" s="552">
        <v>-17</v>
      </c>
      <c r="I147" s="553"/>
      <c r="J147" s="552"/>
      <c r="K147" s="554">
        <v>12680</v>
      </c>
      <c r="L147" s="552"/>
      <c r="M147" s="552">
        <v>373</v>
      </c>
      <c r="N147" s="552"/>
      <c r="O147" s="555">
        <v>12307</v>
      </c>
      <c r="P147" s="548"/>
      <c r="Q147" s="550" t="s">
        <v>145</v>
      </c>
      <c r="R147" s="551">
        <v>11748</v>
      </c>
      <c r="S147" s="548"/>
      <c r="T147" s="554"/>
      <c r="U147" s="548"/>
      <c r="V147" s="823">
        <v>11748</v>
      </c>
      <c r="W147" s="548"/>
      <c r="X147" s="556">
        <v>-0.0754702132682773</v>
      </c>
      <c r="Y147" s="548"/>
      <c r="Z147" s="556">
        <v>-0.0735015772870663</v>
      </c>
      <c r="AA147" s="548"/>
      <c r="AB147" s="556">
        <v>-0.04542130494840335</v>
      </c>
      <c r="AC147" s="373"/>
      <c r="AE147" s="891"/>
    </row>
    <row r="148" spans="1:31" ht="12.75">
      <c r="A148" s="571"/>
      <c r="B148" s="375"/>
      <c r="C148" s="103"/>
      <c r="D148" s="550" t="s">
        <v>130</v>
      </c>
      <c r="E148" s="551">
        <v>7565</v>
      </c>
      <c r="F148" s="552"/>
      <c r="G148" s="552"/>
      <c r="H148" s="552"/>
      <c r="I148" s="553"/>
      <c r="J148" s="552"/>
      <c r="K148" s="554">
        <v>7565</v>
      </c>
      <c r="L148" s="552"/>
      <c r="M148" s="552"/>
      <c r="N148" s="552"/>
      <c r="O148" s="555"/>
      <c r="P148" s="548"/>
      <c r="Q148" s="550" t="s">
        <v>130</v>
      </c>
      <c r="R148" s="551">
        <v>7429</v>
      </c>
      <c r="S148" s="548"/>
      <c r="T148" s="554"/>
      <c r="U148" s="548"/>
      <c r="V148" s="823">
        <v>7429</v>
      </c>
      <c r="W148" s="548"/>
      <c r="X148" s="556">
        <v>-0.017977528089887618</v>
      </c>
      <c r="Y148" s="548"/>
      <c r="Z148" s="556">
        <v>-0.017977528089887618</v>
      </c>
      <c r="AA148" s="548"/>
      <c r="AB148" s="556"/>
      <c r="AC148" s="373"/>
      <c r="AE148" s="891"/>
    </row>
    <row r="149" spans="1:31" ht="12.75">
      <c r="A149" s="571"/>
      <c r="B149" s="375"/>
      <c r="C149" s="103"/>
      <c r="D149" s="557" t="s">
        <v>8</v>
      </c>
      <c r="E149" s="558">
        <v>662</v>
      </c>
      <c r="F149" s="552"/>
      <c r="G149" s="552">
        <v>254</v>
      </c>
      <c r="H149" s="552"/>
      <c r="I149" s="559"/>
      <c r="J149" s="552"/>
      <c r="K149" s="554">
        <v>916</v>
      </c>
      <c r="L149" s="552"/>
      <c r="M149" s="552"/>
      <c r="N149" s="552"/>
      <c r="O149" s="555"/>
      <c r="P149" s="548"/>
      <c r="Q149" s="557" t="s">
        <v>8</v>
      </c>
      <c r="R149" s="558">
        <v>1106</v>
      </c>
      <c r="S149" s="548"/>
      <c r="T149" s="560"/>
      <c r="U149" s="548"/>
      <c r="V149" s="823">
        <v>1106</v>
      </c>
      <c r="W149" s="548"/>
      <c r="X149" s="556">
        <v>0.6706948640483383</v>
      </c>
      <c r="Y149" s="548"/>
      <c r="Z149" s="556">
        <v>0.2074235807860263</v>
      </c>
      <c r="AA149" s="548"/>
      <c r="AB149" s="556"/>
      <c r="AC149" s="374"/>
      <c r="AE149" s="891"/>
    </row>
    <row r="150" spans="1:31" ht="12.75">
      <c r="A150" s="571"/>
      <c r="B150" s="375"/>
      <c r="C150" s="103"/>
      <c r="D150" s="557" t="s">
        <v>31</v>
      </c>
      <c r="E150" s="558">
        <v>2792</v>
      </c>
      <c r="F150" s="552"/>
      <c r="G150" s="552"/>
      <c r="H150" s="552">
        <v>39</v>
      </c>
      <c r="I150" s="559"/>
      <c r="J150" s="552"/>
      <c r="K150" s="554">
        <v>2831</v>
      </c>
      <c r="L150" s="552"/>
      <c r="M150" s="552"/>
      <c r="N150" s="552"/>
      <c r="O150" s="555"/>
      <c r="P150" s="548"/>
      <c r="Q150" s="557" t="s">
        <v>31</v>
      </c>
      <c r="R150" s="558">
        <v>3603</v>
      </c>
      <c r="S150" s="548"/>
      <c r="T150" s="560"/>
      <c r="U150" s="548"/>
      <c r="V150" s="823">
        <v>3603</v>
      </c>
      <c r="W150" s="548"/>
      <c r="X150" s="556">
        <v>0.29047277936962757</v>
      </c>
      <c r="Y150" s="548"/>
      <c r="Z150" s="556">
        <v>0.276</v>
      </c>
      <c r="AA150" s="548"/>
      <c r="AB150" s="556"/>
      <c r="AC150" s="374"/>
      <c r="AE150" s="891"/>
    </row>
    <row r="151" spans="1:31" ht="12.75">
      <c r="A151" s="571"/>
      <c r="B151" s="375"/>
      <c r="C151" s="103"/>
      <c r="D151" s="557" t="s">
        <v>89</v>
      </c>
      <c r="E151" s="558">
        <v>136</v>
      </c>
      <c r="F151" s="552"/>
      <c r="G151" s="552"/>
      <c r="H151" s="552"/>
      <c r="I151" s="559"/>
      <c r="J151" s="552"/>
      <c r="K151" s="554">
        <v>136</v>
      </c>
      <c r="L151" s="552"/>
      <c r="M151" s="552"/>
      <c r="N151" s="552"/>
      <c r="O151" s="555"/>
      <c r="P151" s="548"/>
      <c r="Q151" s="557" t="s">
        <v>89</v>
      </c>
      <c r="R151" s="558">
        <v>178</v>
      </c>
      <c r="S151" s="548"/>
      <c r="T151" s="560"/>
      <c r="U151" s="548"/>
      <c r="V151" s="823">
        <v>178</v>
      </c>
      <c r="W151" s="548"/>
      <c r="X151" s="556">
        <v>0.3088235294117647</v>
      </c>
      <c r="Y151" s="548"/>
      <c r="Z151" s="556">
        <v>0.3088235294117647</v>
      </c>
      <c r="AA151" s="548"/>
      <c r="AB151" s="556"/>
      <c r="AC151" s="374"/>
      <c r="AE151" s="891"/>
    </row>
    <row r="152" spans="1:31" ht="12.75">
      <c r="A152" s="571"/>
      <c r="B152" s="375"/>
      <c r="C152" s="103"/>
      <c r="D152" s="557" t="s">
        <v>9</v>
      </c>
      <c r="E152" s="558">
        <v>298</v>
      </c>
      <c r="F152" s="552"/>
      <c r="G152" s="552">
        <v>3</v>
      </c>
      <c r="H152" s="552">
        <v>-3</v>
      </c>
      <c r="I152" s="559"/>
      <c r="J152" s="552"/>
      <c r="K152" s="554">
        <v>298</v>
      </c>
      <c r="L152" s="552"/>
      <c r="M152" s="552"/>
      <c r="N152" s="552"/>
      <c r="O152" s="555"/>
      <c r="P152" s="548"/>
      <c r="Q152" s="557" t="s">
        <v>9</v>
      </c>
      <c r="R152" s="558">
        <v>283</v>
      </c>
      <c r="S152" s="548"/>
      <c r="T152" s="560"/>
      <c r="U152" s="548"/>
      <c r="V152" s="823">
        <v>283</v>
      </c>
      <c r="W152" s="548"/>
      <c r="X152" s="556">
        <v>-0.05033557046979864</v>
      </c>
      <c r="Y152" s="548"/>
      <c r="Z152" s="556">
        <v>-0.05033557046979864</v>
      </c>
      <c r="AA152" s="548"/>
      <c r="AB152" s="556"/>
      <c r="AC152" s="374"/>
      <c r="AE152" s="891"/>
    </row>
    <row r="153" spans="1:31" ht="12.75">
      <c r="A153" s="571"/>
      <c r="B153" s="375"/>
      <c r="C153" s="103"/>
      <c r="D153" s="557" t="s">
        <v>187</v>
      </c>
      <c r="E153" s="558">
        <v>177</v>
      </c>
      <c r="F153" s="552"/>
      <c r="G153" s="552"/>
      <c r="H153" s="552">
        <v>-12</v>
      </c>
      <c r="I153" s="559"/>
      <c r="J153" s="552"/>
      <c r="K153" s="554">
        <v>165</v>
      </c>
      <c r="L153" s="552"/>
      <c r="M153" s="552"/>
      <c r="N153" s="552"/>
      <c r="O153" s="555"/>
      <c r="P153" s="548"/>
      <c r="Q153" s="557" t="s">
        <v>187</v>
      </c>
      <c r="R153" s="558">
        <v>166</v>
      </c>
      <c r="S153" s="548"/>
      <c r="T153" s="560"/>
      <c r="U153" s="548"/>
      <c r="V153" s="823">
        <v>166</v>
      </c>
      <c r="W153" s="548"/>
      <c r="X153" s="556">
        <v>-0.062146892655367214</v>
      </c>
      <c r="Y153" s="548"/>
      <c r="Z153" s="556">
        <v>0.0060606060606061</v>
      </c>
      <c r="AA153" s="548"/>
      <c r="AB153" s="556"/>
      <c r="AC153" s="374"/>
      <c r="AE153" s="91"/>
    </row>
    <row r="154" spans="1:31" s="97" customFormat="1" ht="12.75">
      <c r="A154" s="615"/>
      <c r="B154" s="441"/>
      <c r="C154" s="100"/>
      <c r="D154" s="619" t="s">
        <v>188</v>
      </c>
      <c r="E154" s="561">
        <v>-184</v>
      </c>
      <c r="F154" s="552"/>
      <c r="G154" s="552">
        <v>1</v>
      </c>
      <c r="H154" s="552"/>
      <c r="I154" s="559"/>
      <c r="J154" s="552"/>
      <c r="K154" s="560">
        <v>-183</v>
      </c>
      <c r="L154" s="552"/>
      <c r="M154" s="552"/>
      <c r="N154" s="552"/>
      <c r="O154" s="555"/>
      <c r="P154" s="548"/>
      <c r="Q154" s="619" t="s">
        <v>188</v>
      </c>
      <c r="R154" s="561">
        <v>-237</v>
      </c>
      <c r="S154" s="548"/>
      <c r="T154" s="560"/>
      <c r="U154" s="548"/>
      <c r="V154" s="824">
        <v>-237</v>
      </c>
      <c r="W154" s="548"/>
      <c r="X154" s="556"/>
      <c r="Y154" s="548"/>
      <c r="Z154" s="556"/>
      <c r="AA154" s="548"/>
      <c r="AB154" s="556"/>
      <c r="AC154" s="442"/>
      <c r="AE154" s="91"/>
    </row>
    <row r="155" spans="1:31" ht="13.5" thickBot="1">
      <c r="A155" s="571"/>
      <c r="B155" s="375"/>
      <c r="C155" s="103"/>
      <c r="D155" s="272" t="s">
        <v>10</v>
      </c>
      <c r="E155" s="273">
        <v>23104</v>
      </c>
      <c r="F155" s="562"/>
      <c r="G155" s="274">
        <v>248</v>
      </c>
      <c r="H155" s="275">
        <v>7</v>
      </c>
      <c r="I155" s="563"/>
      <c r="J155" s="552"/>
      <c r="K155" s="274">
        <v>23359</v>
      </c>
      <c r="L155" s="552"/>
      <c r="M155" s="275">
        <v>373</v>
      </c>
      <c r="N155" s="552"/>
      <c r="O155" s="276">
        <v>22986</v>
      </c>
      <c r="P155" s="548"/>
      <c r="Q155" s="272" t="s">
        <v>10</v>
      </c>
      <c r="R155" s="273">
        <v>23207</v>
      </c>
      <c r="S155" s="548"/>
      <c r="T155" s="274"/>
      <c r="U155" s="548"/>
      <c r="V155" s="825">
        <v>23207</v>
      </c>
      <c r="W155" s="548"/>
      <c r="X155" s="277">
        <v>0.004458102493074767</v>
      </c>
      <c r="Y155" s="548"/>
      <c r="Z155" s="277">
        <v>-0.0065071278736247296</v>
      </c>
      <c r="AA155" s="548"/>
      <c r="AB155" s="278">
        <v>0.00961454798573036</v>
      </c>
      <c r="AC155" s="374"/>
      <c r="AE155" s="91"/>
    </row>
    <row r="156" spans="1:31" ht="13.5" thickTop="1">
      <c r="A156" s="571"/>
      <c r="B156" s="375"/>
      <c r="C156" s="103"/>
      <c r="D156" s="564"/>
      <c r="E156" s="565"/>
      <c r="F156" s="548"/>
      <c r="G156" s="566"/>
      <c r="H156" s="566"/>
      <c r="I156" s="567"/>
      <c r="J156" s="548"/>
      <c r="K156" s="566"/>
      <c r="L156" s="111"/>
      <c r="M156" s="111"/>
      <c r="N156" s="100"/>
      <c r="O156" s="568"/>
      <c r="P156" s="100"/>
      <c r="Q156" s="564"/>
      <c r="R156" s="565"/>
      <c r="S156" s="548"/>
      <c r="T156" s="566"/>
      <c r="U156" s="548"/>
      <c r="V156" s="826"/>
      <c r="W156" s="100"/>
      <c r="X156" s="569"/>
      <c r="Y156" s="100"/>
      <c r="Z156" s="569"/>
      <c r="AA156" s="100"/>
      <c r="AB156" s="570"/>
      <c r="AC156" s="374"/>
      <c r="AE156" s="91"/>
    </row>
    <row r="157" spans="1:31" ht="12.75">
      <c r="A157" s="571"/>
      <c r="B157" s="185"/>
      <c r="C157" s="111"/>
      <c r="D157" s="258" t="s">
        <v>45</v>
      </c>
      <c r="E157" s="376"/>
      <c r="F157" s="234"/>
      <c r="G157" s="279"/>
      <c r="H157" s="279"/>
      <c r="I157" s="572"/>
      <c r="J157" s="234"/>
      <c r="K157" s="377"/>
      <c r="L157" s="234"/>
      <c r="M157" s="234"/>
      <c r="N157" s="234"/>
      <c r="O157" s="378"/>
      <c r="P157" s="234"/>
      <c r="Q157" s="258" t="s">
        <v>45</v>
      </c>
      <c r="R157" s="376"/>
      <c r="S157" s="234"/>
      <c r="T157" s="377"/>
      <c r="U157" s="234"/>
      <c r="V157" s="827"/>
      <c r="W157" s="234"/>
      <c r="X157" s="243"/>
      <c r="Y157" s="234"/>
      <c r="Z157" s="243"/>
      <c r="AA157" s="234"/>
      <c r="AB157" s="234"/>
      <c r="AC157" s="202"/>
      <c r="AE157" s="91"/>
    </row>
    <row r="158" spans="1:31" ht="12.75">
      <c r="A158" s="571"/>
      <c r="B158" s="375"/>
      <c r="C158" s="103"/>
      <c r="D158" s="542" t="s">
        <v>7</v>
      </c>
      <c r="E158" s="543">
        <v>9220</v>
      </c>
      <c r="F158" s="573"/>
      <c r="G158" s="544">
        <v>-8</v>
      </c>
      <c r="H158" s="544">
        <v>-2</v>
      </c>
      <c r="I158" s="574">
        <v>94</v>
      </c>
      <c r="J158" s="548"/>
      <c r="K158" s="544">
        <v>9304</v>
      </c>
      <c r="L158" s="548"/>
      <c r="M158" s="548"/>
      <c r="N158" s="548"/>
      <c r="O158" s="575"/>
      <c r="P158" s="548"/>
      <c r="Q158" s="542" t="s">
        <v>7</v>
      </c>
      <c r="R158" s="543">
        <v>8440</v>
      </c>
      <c r="S158" s="548"/>
      <c r="T158" s="544">
        <v>150</v>
      </c>
      <c r="U158" s="548"/>
      <c r="V158" s="547">
        <v>8590</v>
      </c>
      <c r="W158" s="548"/>
      <c r="X158" s="549">
        <v>-0.08459869848156187</v>
      </c>
      <c r="Y158" s="548"/>
      <c r="Z158" s="549">
        <v>-0.07674118658641449</v>
      </c>
      <c r="AA158" s="548"/>
      <c r="AB158" s="548"/>
      <c r="AC158" s="373"/>
      <c r="AE158" s="91"/>
    </row>
    <row r="159" spans="1:31" ht="12.75">
      <c r="A159" s="571"/>
      <c r="B159" s="375"/>
      <c r="C159" s="103"/>
      <c r="D159" s="557" t="s">
        <v>8</v>
      </c>
      <c r="E159" s="558">
        <v>40</v>
      </c>
      <c r="F159" s="548"/>
      <c r="G159" s="552">
        <v>36</v>
      </c>
      <c r="H159" s="552"/>
      <c r="I159" s="576"/>
      <c r="J159" s="548"/>
      <c r="K159" s="552">
        <v>76</v>
      </c>
      <c r="L159" s="548"/>
      <c r="M159" s="548"/>
      <c r="N159" s="548"/>
      <c r="O159" s="575"/>
      <c r="P159" s="548"/>
      <c r="Q159" s="557" t="s">
        <v>8</v>
      </c>
      <c r="R159" s="558">
        <v>161</v>
      </c>
      <c r="S159" s="548"/>
      <c r="T159" s="552">
        <v>4</v>
      </c>
      <c r="U159" s="548"/>
      <c r="V159" s="555">
        <v>165</v>
      </c>
      <c r="W159" s="548"/>
      <c r="X159" s="556">
        <v>3.025</v>
      </c>
      <c r="Y159" s="548"/>
      <c r="Z159" s="556">
        <v>1.1710526315789473</v>
      </c>
      <c r="AA159" s="548"/>
      <c r="AB159" s="548"/>
      <c r="AC159" s="373"/>
      <c r="AE159" s="91"/>
    </row>
    <row r="160" spans="1:29" ht="12.75">
      <c r="A160" s="571"/>
      <c r="B160" s="375"/>
      <c r="C160" s="103"/>
      <c r="D160" s="557" t="s">
        <v>31</v>
      </c>
      <c r="E160" s="558">
        <v>604</v>
      </c>
      <c r="F160" s="548"/>
      <c r="G160" s="577"/>
      <c r="H160" s="552">
        <v>9</v>
      </c>
      <c r="I160" s="576">
        <v>4</v>
      </c>
      <c r="J160" s="548"/>
      <c r="K160" s="552">
        <v>617</v>
      </c>
      <c r="L160" s="548"/>
      <c r="M160" s="548"/>
      <c r="N160" s="548"/>
      <c r="O160" s="575"/>
      <c r="P160" s="548"/>
      <c r="Q160" s="557" t="s">
        <v>31</v>
      </c>
      <c r="R160" s="558">
        <v>824</v>
      </c>
      <c r="S160" s="548"/>
      <c r="T160" s="552"/>
      <c r="U160" s="548"/>
      <c r="V160" s="555">
        <v>824</v>
      </c>
      <c r="W160" s="548"/>
      <c r="X160" s="556">
        <v>0.3642384105960266</v>
      </c>
      <c r="Y160" s="548"/>
      <c r="Z160" s="556">
        <v>0.34</v>
      </c>
      <c r="AA160" s="548"/>
      <c r="AB160" s="548"/>
      <c r="AC160" s="373"/>
    </row>
    <row r="161" spans="1:31" ht="12.75">
      <c r="A161" s="571"/>
      <c r="B161" s="375"/>
      <c r="C161" s="103"/>
      <c r="D161" s="557" t="s">
        <v>89</v>
      </c>
      <c r="E161" s="561">
        <v>-71</v>
      </c>
      <c r="F161" s="548"/>
      <c r="G161" s="577"/>
      <c r="H161" s="552"/>
      <c r="I161" s="576">
        <v>5</v>
      </c>
      <c r="J161" s="548"/>
      <c r="K161" s="552">
        <v>-66</v>
      </c>
      <c r="L161" s="379"/>
      <c r="M161" s="379"/>
      <c r="N161" s="379"/>
      <c r="O161" s="380"/>
      <c r="P161" s="379"/>
      <c r="Q161" s="557" t="s">
        <v>89</v>
      </c>
      <c r="R161" s="561">
        <v>-38</v>
      </c>
      <c r="S161" s="548"/>
      <c r="T161" s="552">
        <v>1</v>
      </c>
      <c r="U161" s="548"/>
      <c r="V161" s="555">
        <v>-37</v>
      </c>
      <c r="W161" s="379"/>
      <c r="X161" s="556">
        <v>0.46478873239436624</v>
      </c>
      <c r="Y161" s="379"/>
      <c r="Z161" s="556">
        <v>0.43939393939393945</v>
      </c>
      <c r="AA161" s="379"/>
      <c r="AB161" s="379"/>
      <c r="AC161" s="373"/>
      <c r="AE161" s="95"/>
    </row>
    <row r="162" spans="1:31" ht="12.75">
      <c r="A162" s="571"/>
      <c r="B162" s="375"/>
      <c r="C162" s="103"/>
      <c r="D162" s="557" t="s">
        <v>9</v>
      </c>
      <c r="E162" s="561">
        <v>-36</v>
      </c>
      <c r="F162" s="548"/>
      <c r="G162" s="610">
        <v>1</v>
      </c>
      <c r="H162" s="552">
        <v>-3</v>
      </c>
      <c r="I162" s="576">
        <v>10</v>
      </c>
      <c r="J162" s="548"/>
      <c r="K162" s="552">
        <v>-28</v>
      </c>
      <c r="L162" s="548"/>
      <c r="M162" s="548"/>
      <c r="N162" s="548"/>
      <c r="O162" s="575"/>
      <c r="P162" s="548"/>
      <c r="Q162" s="557" t="s">
        <v>9</v>
      </c>
      <c r="R162" s="561">
        <v>-21</v>
      </c>
      <c r="S162" s="548"/>
      <c r="T162" s="552">
        <v>1</v>
      </c>
      <c r="U162" s="548"/>
      <c r="V162" s="555">
        <v>-20</v>
      </c>
      <c r="W162" s="548"/>
      <c r="X162" s="556">
        <v>0.41666666666666663</v>
      </c>
      <c r="Y162" s="548"/>
      <c r="Z162" s="556">
        <v>0.2857142857142857</v>
      </c>
      <c r="AA162" s="548"/>
      <c r="AB162" s="548"/>
      <c r="AC162" s="373"/>
      <c r="AE162" s="91"/>
    </row>
    <row r="163" spans="1:31" s="97" customFormat="1" ht="12.75">
      <c r="A163" s="615"/>
      <c r="B163" s="441"/>
      <c r="C163" s="100"/>
      <c r="D163" s="619" t="s">
        <v>187</v>
      </c>
      <c r="E163" s="558">
        <v>34</v>
      </c>
      <c r="F163" s="548"/>
      <c r="G163" s="577"/>
      <c r="H163" s="552">
        <v>-5</v>
      </c>
      <c r="I163" s="576">
        <v>6</v>
      </c>
      <c r="J163" s="548"/>
      <c r="K163" s="552">
        <v>35</v>
      </c>
      <c r="L163" s="548"/>
      <c r="M163" s="548"/>
      <c r="N163" s="548"/>
      <c r="O163" s="575"/>
      <c r="P163" s="548"/>
      <c r="Q163" s="619" t="s">
        <v>187</v>
      </c>
      <c r="R163" s="558">
        <v>66</v>
      </c>
      <c r="S163" s="548"/>
      <c r="T163" s="552"/>
      <c r="U163" s="548"/>
      <c r="V163" s="555">
        <v>66</v>
      </c>
      <c r="W163" s="548"/>
      <c r="X163" s="556">
        <v>0.9411764705882353</v>
      </c>
      <c r="Y163" s="548"/>
      <c r="Z163" s="556">
        <v>0.8857142857142857</v>
      </c>
      <c r="AA163" s="548"/>
      <c r="AB163" s="548"/>
      <c r="AC163" s="618"/>
      <c r="AE163" s="91"/>
    </row>
    <row r="164" spans="1:31" s="97" customFormat="1" ht="12.75">
      <c r="A164" s="615"/>
      <c r="B164" s="441"/>
      <c r="C164" s="100"/>
      <c r="D164" s="619" t="s">
        <v>188</v>
      </c>
      <c r="E164" s="561">
        <v>-5</v>
      </c>
      <c r="F164" s="548"/>
      <c r="G164" s="577"/>
      <c r="H164" s="552"/>
      <c r="I164" s="576"/>
      <c r="J164" s="548"/>
      <c r="K164" s="552">
        <v>-5</v>
      </c>
      <c r="L164" s="548"/>
      <c r="M164" s="548"/>
      <c r="N164" s="548"/>
      <c r="O164" s="575"/>
      <c r="P164" s="548"/>
      <c r="Q164" s="619" t="s">
        <v>188</v>
      </c>
      <c r="R164" s="561">
        <v>1</v>
      </c>
      <c r="S164" s="548"/>
      <c r="T164" s="552"/>
      <c r="U164" s="548"/>
      <c r="V164" s="555">
        <v>1</v>
      </c>
      <c r="W164" s="548"/>
      <c r="X164" s="556"/>
      <c r="Y164" s="548"/>
      <c r="Z164" s="556"/>
      <c r="AA164" s="548"/>
      <c r="AB164" s="548"/>
      <c r="AC164" s="618"/>
      <c r="AE164" s="91"/>
    </row>
    <row r="165" spans="1:31" s="97" customFormat="1" ht="12.75">
      <c r="A165" s="615"/>
      <c r="B165" s="441"/>
      <c r="C165" s="100"/>
      <c r="D165" s="272" t="s">
        <v>10</v>
      </c>
      <c r="E165" s="273">
        <v>9786</v>
      </c>
      <c r="F165" s="579"/>
      <c r="G165" s="274">
        <v>29</v>
      </c>
      <c r="H165" s="275">
        <v>-1</v>
      </c>
      <c r="I165" s="663">
        <v>119</v>
      </c>
      <c r="J165" s="548"/>
      <c r="K165" s="275">
        <v>9933</v>
      </c>
      <c r="L165" s="548"/>
      <c r="M165" s="548"/>
      <c r="N165" s="548"/>
      <c r="O165" s="548"/>
      <c r="P165" s="578"/>
      <c r="Q165" s="272" t="s">
        <v>10</v>
      </c>
      <c r="R165" s="273">
        <v>9433</v>
      </c>
      <c r="S165" s="548"/>
      <c r="T165" s="275">
        <v>156</v>
      </c>
      <c r="U165" s="548"/>
      <c r="V165" s="276">
        <v>9589</v>
      </c>
      <c r="W165" s="548"/>
      <c r="X165" s="277">
        <v>-0.03607193950541587</v>
      </c>
      <c r="Y165" s="548"/>
      <c r="Z165" s="277">
        <v>-0.03463203463203468</v>
      </c>
      <c r="AA165" s="548"/>
      <c r="AB165" s="548"/>
      <c r="AC165" s="442"/>
      <c r="AD165" s="885"/>
      <c r="AE165" s="95"/>
    </row>
    <row r="166" spans="1:31" ht="12.75">
      <c r="A166" s="571"/>
      <c r="B166" s="375"/>
      <c r="C166" s="382"/>
      <c r="D166" s="581"/>
      <c r="E166" s="561"/>
      <c r="F166" s="548"/>
      <c r="G166" s="577"/>
      <c r="H166" s="577"/>
      <c r="I166" s="576"/>
      <c r="J166" s="548"/>
      <c r="K166" s="552"/>
      <c r="L166" s="548"/>
      <c r="M166" s="548"/>
      <c r="N166" s="548"/>
      <c r="O166" s="548"/>
      <c r="P166" s="578"/>
      <c r="Q166" s="581"/>
      <c r="R166" s="561"/>
      <c r="S166" s="573"/>
      <c r="T166" s="552"/>
      <c r="U166" s="573"/>
      <c r="V166" s="555"/>
      <c r="W166" s="548"/>
      <c r="X166" s="578"/>
      <c r="Y166" s="548"/>
      <c r="Z166" s="578"/>
      <c r="AA166" s="548"/>
      <c r="AB166" s="548"/>
      <c r="AC166" s="374"/>
      <c r="AD166" s="865"/>
      <c r="AE166" s="95"/>
    </row>
    <row r="167" spans="1:30" ht="12.75">
      <c r="A167" s="571"/>
      <c r="B167" s="375"/>
      <c r="C167" s="103"/>
      <c r="D167" s="258" t="s">
        <v>67</v>
      </c>
      <c r="E167" s="583"/>
      <c r="F167" s="548"/>
      <c r="G167" s="577"/>
      <c r="H167" s="577"/>
      <c r="I167" s="576"/>
      <c r="J167" s="548"/>
      <c r="K167" s="552"/>
      <c r="L167" s="548"/>
      <c r="M167" s="548"/>
      <c r="N167" s="548"/>
      <c r="O167" s="548"/>
      <c r="P167" s="578"/>
      <c r="Q167" s="258" t="s">
        <v>67</v>
      </c>
      <c r="R167" s="583"/>
      <c r="S167" s="548"/>
      <c r="T167" s="552"/>
      <c r="U167" s="548"/>
      <c r="V167" s="555"/>
      <c r="W167" s="548"/>
      <c r="X167" s="578"/>
      <c r="Y167" s="548"/>
      <c r="Z167" s="578"/>
      <c r="AA167" s="548"/>
      <c r="AB167" s="548"/>
      <c r="AC167" s="374"/>
      <c r="AD167" s="865"/>
    </row>
    <row r="168" spans="1:31" ht="12.75">
      <c r="A168" s="571"/>
      <c r="B168" s="375"/>
      <c r="C168" s="103"/>
      <c r="D168" s="542" t="s">
        <v>7</v>
      </c>
      <c r="E168" s="584">
        <v>0.4796337720439057</v>
      </c>
      <c r="F168" s="573"/>
      <c r="G168" s="585"/>
      <c r="H168" s="585"/>
      <c r="I168" s="574"/>
      <c r="J168" s="548"/>
      <c r="K168" s="586">
        <v>0.4846843092310898</v>
      </c>
      <c r="L168" s="548"/>
      <c r="M168" s="548"/>
      <c r="N168" s="548"/>
      <c r="O168" s="575"/>
      <c r="P168" s="548"/>
      <c r="Q168" s="542" t="s">
        <v>7</v>
      </c>
      <c r="R168" s="584">
        <v>0.4660923348796112</v>
      </c>
      <c r="S168" s="548"/>
      <c r="T168" s="544"/>
      <c r="U168" s="548"/>
      <c r="V168" s="828">
        <v>0.47437596642368013</v>
      </c>
      <c r="W168" s="548"/>
      <c r="X168" s="587">
        <v>-1.3541437164294512</v>
      </c>
      <c r="Y168" s="548"/>
      <c r="Z168" s="587">
        <v>-1.1</v>
      </c>
      <c r="AA168" s="548"/>
      <c r="AB168" s="548"/>
      <c r="AC168" s="374"/>
      <c r="AD168" s="865"/>
      <c r="AE168" s="97"/>
    </row>
    <row r="169" spans="1:31" ht="12.75">
      <c r="A169" s="571"/>
      <c r="B169" s="375"/>
      <c r="C169" s="103"/>
      <c r="D169" s="557" t="s">
        <v>8</v>
      </c>
      <c r="E169" s="588">
        <v>0.06042296072507553</v>
      </c>
      <c r="F169" s="548"/>
      <c r="G169" s="577"/>
      <c r="H169" s="577"/>
      <c r="I169" s="576"/>
      <c r="J169" s="548"/>
      <c r="K169" s="589">
        <v>0.08296943231441048</v>
      </c>
      <c r="L169" s="548"/>
      <c r="M169" s="548"/>
      <c r="N169" s="548"/>
      <c r="O169" s="575"/>
      <c r="P169" s="548"/>
      <c r="Q169" s="557" t="s">
        <v>8</v>
      </c>
      <c r="R169" s="588">
        <v>0.14556962025316456</v>
      </c>
      <c r="S169" s="548"/>
      <c r="T169" s="552"/>
      <c r="U169" s="548"/>
      <c r="V169" s="829">
        <v>0.1491862567811935</v>
      </c>
      <c r="W169" s="548"/>
      <c r="X169" s="590">
        <v>8.514665952808903</v>
      </c>
      <c r="Y169" s="548"/>
      <c r="Z169" s="590">
        <v>6.621682446678301</v>
      </c>
      <c r="AA169" s="548"/>
      <c r="AB169" s="548"/>
      <c r="AC169" s="374"/>
      <c r="AD169" s="865"/>
      <c r="AE169" s="97"/>
    </row>
    <row r="170" spans="2:31" ht="12.75">
      <c r="B170" s="375"/>
      <c r="C170" s="103"/>
      <c r="D170" s="557" t="s">
        <v>31</v>
      </c>
      <c r="E170" s="588">
        <v>0.2163323782234957</v>
      </c>
      <c r="F170" s="379"/>
      <c r="G170" s="280"/>
      <c r="H170" s="280"/>
      <c r="I170" s="591"/>
      <c r="J170" s="379"/>
      <c r="K170" s="589">
        <v>0.21794418933239137</v>
      </c>
      <c r="L170" s="379"/>
      <c r="M170" s="379"/>
      <c r="N170" s="379"/>
      <c r="O170" s="380"/>
      <c r="P170" s="379"/>
      <c r="Q170" s="557" t="s">
        <v>31</v>
      </c>
      <c r="R170" s="588">
        <v>0.22869830696641688</v>
      </c>
      <c r="S170" s="379"/>
      <c r="T170" s="383"/>
      <c r="U170" s="379"/>
      <c r="V170" s="829">
        <v>0.22869830696641688</v>
      </c>
      <c r="W170" s="379"/>
      <c r="X170" s="590">
        <v>1.2365928742921168</v>
      </c>
      <c r="Y170" s="379"/>
      <c r="Z170" s="590">
        <v>1.0754117634025506</v>
      </c>
      <c r="AA170" s="379"/>
      <c r="AB170" s="379"/>
      <c r="AC170" s="374"/>
      <c r="AD170" s="865"/>
      <c r="AE170" s="97"/>
    </row>
    <row r="171" spans="2:31" ht="12.75">
      <c r="B171" s="375"/>
      <c r="C171" s="103"/>
      <c r="D171" s="557" t="s">
        <v>89</v>
      </c>
      <c r="E171" s="588">
        <v>-0.5220588235294118</v>
      </c>
      <c r="F171" s="379"/>
      <c r="G171" s="280"/>
      <c r="H171" s="280"/>
      <c r="I171" s="591"/>
      <c r="J171" s="379"/>
      <c r="K171" s="589">
        <v>-0.4852941176470588</v>
      </c>
      <c r="L171" s="379"/>
      <c r="M171" s="379"/>
      <c r="N171" s="379"/>
      <c r="O171" s="380"/>
      <c r="P171" s="379"/>
      <c r="Q171" s="557" t="s">
        <v>89</v>
      </c>
      <c r="R171" s="588">
        <v>-0.21348314606741572</v>
      </c>
      <c r="S171" s="379"/>
      <c r="T171" s="383"/>
      <c r="U171" s="379"/>
      <c r="V171" s="829">
        <v>-0.20786516853932585</v>
      </c>
      <c r="W171" s="379"/>
      <c r="X171" s="590">
        <v>30.85756774619961</v>
      </c>
      <c r="Y171" s="379"/>
      <c r="Z171" s="590">
        <v>27.7428949107733</v>
      </c>
      <c r="AA171" s="379"/>
      <c r="AB171" s="379"/>
      <c r="AC171" s="374"/>
      <c r="AE171" s="97"/>
    </row>
    <row r="172" spans="2:31" ht="12.75">
      <c r="B172" s="375"/>
      <c r="C172" s="103"/>
      <c r="D172" s="557" t="s">
        <v>9</v>
      </c>
      <c r="E172" s="588">
        <v>-0.12080536912751678</v>
      </c>
      <c r="F172" s="379"/>
      <c r="G172" s="280"/>
      <c r="H172" s="280"/>
      <c r="I172" s="591"/>
      <c r="J172" s="379"/>
      <c r="K172" s="589">
        <v>-0.09395973154362416</v>
      </c>
      <c r="L172" s="379"/>
      <c r="M172" s="379"/>
      <c r="N172" s="379"/>
      <c r="O172" s="380"/>
      <c r="P172" s="379"/>
      <c r="Q172" s="557" t="s">
        <v>9</v>
      </c>
      <c r="R172" s="588">
        <v>-0.07420494699646643</v>
      </c>
      <c r="S172" s="379"/>
      <c r="T172" s="383"/>
      <c r="U172" s="379"/>
      <c r="V172" s="829">
        <v>-0.0706713780918728</v>
      </c>
      <c r="W172" s="379"/>
      <c r="X172" s="590">
        <v>4.660042213105036</v>
      </c>
      <c r="Y172" s="379"/>
      <c r="Z172" s="590">
        <v>2.328835345175137</v>
      </c>
      <c r="AA172" s="379"/>
      <c r="AB172" s="379"/>
      <c r="AC172" s="374"/>
      <c r="AE172" s="97"/>
    </row>
    <row r="173" spans="2:31" ht="12.75">
      <c r="B173" s="185"/>
      <c r="C173" s="111"/>
      <c r="D173" s="272" t="s">
        <v>10</v>
      </c>
      <c r="E173" s="281">
        <v>0.4235630193905817</v>
      </c>
      <c r="F173" s="592"/>
      <c r="G173" s="593"/>
      <c r="H173" s="593"/>
      <c r="I173" s="594"/>
      <c r="J173" s="100"/>
      <c r="K173" s="282">
        <v>0.4252322445310159</v>
      </c>
      <c r="L173" s="100"/>
      <c r="M173" s="100"/>
      <c r="N173" s="100"/>
      <c r="O173" s="595"/>
      <c r="P173" s="100"/>
      <c r="Q173" s="272" t="s">
        <v>10</v>
      </c>
      <c r="R173" s="281">
        <v>0.40647218511655964</v>
      </c>
      <c r="S173" s="100"/>
      <c r="T173" s="593"/>
      <c r="U173" s="100"/>
      <c r="V173" s="830">
        <v>0.4131942948248373</v>
      </c>
      <c r="W173" s="100"/>
      <c r="X173" s="596">
        <v>-1.8</v>
      </c>
      <c r="Y173" s="100"/>
      <c r="Z173" s="596">
        <v>-1.2037949706178552</v>
      </c>
      <c r="AA173" s="100"/>
      <c r="AB173" s="100"/>
      <c r="AC173" s="202"/>
      <c r="AE173" s="97"/>
    </row>
    <row r="174" spans="2:31" ht="12.75">
      <c r="B174" s="185"/>
      <c r="C174" s="111"/>
      <c r="D174" s="283"/>
      <c r="E174" s="284"/>
      <c r="F174" s="100"/>
      <c r="G174" s="597"/>
      <c r="H174" s="597"/>
      <c r="I174" s="598"/>
      <c r="J174" s="100"/>
      <c r="K174" s="597"/>
      <c r="L174" s="100"/>
      <c r="M174" s="100"/>
      <c r="N174" s="100"/>
      <c r="O174" s="595"/>
      <c r="P174" s="100"/>
      <c r="Q174" s="283"/>
      <c r="R174" s="284"/>
      <c r="S174" s="100"/>
      <c r="T174" s="597"/>
      <c r="U174" s="100"/>
      <c r="V174" s="831"/>
      <c r="W174" s="100"/>
      <c r="X174" s="599"/>
      <c r="Y174" s="100"/>
      <c r="Z174" s="599"/>
      <c r="AA174" s="100"/>
      <c r="AB174" s="100"/>
      <c r="AC174" s="202"/>
      <c r="AE174" s="97"/>
    </row>
    <row r="175" spans="2:31" ht="12.75">
      <c r="B175" s="185"/>
      <c r="C175" s="111"/>
      <c r="D175" s="258" t="s">
        <v>47</v>
      </c>
      <c r="E175" s="376"/>
      <c r="F175" s="234"/>
      <c r="G175" s="279"/>
      <c r="H175" s="279"/>
      <c r="I175" s="572"/>
      <c r="J175" s="234"/>
      <c r="K175" s="377"/>
      <c r="L175" s="234"/>
      <c r="M175" s="234"/>
      <c r="N175" s="234"/>
      <c r="O175" s="378"/>
      <c r="P175" s="234"/>
      <c r="Q175" s="258" t="s">
        <v>47</v>
      </c>
      <c r="R175" s="376"/>
      <c r="S175" s="234"/>
      <c r="T175" s="377"/>
      <c r="U175" s="234"/>
      <c r="V175" s="827"/>
      <c r="W175" s="234"/>
      <c r="X175" s="243"/>
      <c r="Y175" s="234"/>
      <c r="Z175" s="243"/>
      <c r="AA175" s="234"/>
      <c r="AB175" s="234"/>
      <c r="AC175" s="202"/>
      <c r="AE175" s="97"/>
    </row>
    <row r="176" spans="2:31" ht="12.75">
      <c r="B176" s="375"/>
      <c r="C176" s="103"/>
      <c r="D176" s="542" t="s">
        <v>7</v>
      </c>
      <c r="E176" s="600">
        <v>5883</v>
      </c>
      <c r="F176" s="573"/>
      <c r="G176" s="611">
        <v>-8</v>
      </c>
      <c r="H176" s="544">
        <v>-1</v>
      </c>
      <c r="I176" s="574">
        <v>-21</v>
      </c>
      <c r="J176" s="548"/>
      <c r="K176" s="544">
        <v>5853</v>
      </c>
      <c r="L176" s="548"/>
      <c r="M176" s="548"/>
      <c r="N176" s="548"/>
      <c r="O176" s="575"/>
      <c r="P176" s="548"/>
      <c r="Q176" s="542" t="s">
        <v>7</v>
      </c>
      <c r="R176" s="600">
        <v>5184</v>
      </c>
      <c r="S176" s="548"/>
      <c r="T176" s="544">
        <v>139</v>
      </c>
      <c r="U176" s="548"/>
      <c r="V176" s="547">
        <v>5323</v>
      </c>
      <c r="W176" s="548"/>
      <c r="X176" s="549">
        <v>-0.1188169301376849</v>
      </c>
      <c r="Y176" s="548"/>
      <c r="Z176" s="549">
        <v>-0.09055185375021357</v>
      </c>
      <c r="AA176" s="548"/>
      <c r="AB176" s="548"/>
      <c r="AC176" s="373"/>
      <c r="AE176" s="97"/>
    </row>
    <row r="177" spans="2:31" ht="12.75">
      <c r="B177" s="375"/>
      <c r="C177" s="103"/>
      <c r="D177" s="557" t="s">
        <v>8</v>
      </c>
      <c r="E177" s="561">
        <v>-106</v>
      </c>
      <c r="F177" s="548"/>
      <c r="G177" s="552">
        <v>30</v>
      </c>
      <c r="H177" s="552"/>
      <c r="I177" s="576"/>
      <c r="J177" s="548"/>
      <c r="K177" s="552">
        <v>-76</v>
      </c>
      <c r="L177" s="548"/>
      <c r="M177" s="548"/>
      <c r="N177" s="548"/>
      <c r="O177" s="575"/>
      <c r="P177" s="548"/>
      <c r="Q177" s="557" t="s">
        <v>8</v>
      </c>
      <c r="R177" s="561">
        <v>-59</v>
      </c>
      <c r="S177" s="548"/>
      <c r="T177" s="552">
        <v>4</v>
      </c>
      <c r="U177" s="548"/>
      <c r="V177" s="555">
        <v>-55</v>
      </c>
      <c r="W177" s="548"/>
      <c r="X177" s="556">
        <v>0.44339622641509435</v>
      </c>
      <c r="Y177" s="548"/>
      <c r="Z177" s="556">
        <v>0.2763157894736842</v>
      </c>
      <c r="AA177" s="548"/>
      <c r="AB177" s="548"/>
      <c r="AC177" s="373"/>
      <c r="AE177" s="97"/>
    </row>
    <row r="178" spans="2:31" ht="12.75">
      <c r="B178" s="375"/>
      <c r="C178" s="103"/>
      <c r="D178" s="557" t="s">
        <v>31</v>
      </c>
      <c r="E178" s="561">
        <v>-47</v>
      </c>
      <c r="F178" s="548"/>
      <c r="G178" s="577"/>
      <c r="H178" s="552"/>
      <c r="I178" s="576">
        <v>4</v>
      </c>
      <c r="J178" s="548"/>
      <c r="K178" s="552">
        <v>-43</v>
      </c>
      <c r="L178" s="548"/>
      <c r="M178" s="548"/>
      <c r="N178" s="548"/>
      <c r="O178" s="575"/>
      <c r="P178" s="548"/>
      <c r="Q178" s="557" t="s">
        <v>31</v>
      </c>
      <c r="R178" s="561">
        <v>44</v>
      </c>
      <c r="S178" s="548"/>
      <c r="T178" s="552"/>
      <c r="U178" s="548"/>
      <c r="V178" s="555">
        <v>44</v>
      </c>
      <c r="W178" s="548"/>
      <c r="X178" s="556"/>
      <c r="Y178" s="548"/>
      <c r="Z178" s="556"/>
      <c r="AA178" s="548"/>
      <c r="AB178" s="548"/>
      <c r="AC178" s="373"/>
      <c r="AE178" s="97"/>
    </row>
    <row r="179" spans="2:29" ht="12.75">
      <c r="B179" s="375"/>
      <c r="C179" s="103"/>
      <c r="D179" s="557" t="s">
        <v>89</v>
      </c>
      <c r="E179" s="561">
        <v>-111</v>
      </c>
      <c r="F179" s="548"/>
      <c r="G179" s="577"/>
      <c r="H179" s="552"/>
      <c r="I179" s="576">
        <v>5</v>
      </c>
      <c r="J179" s="548"/>
      <c r="K179" s="552">
        <v>-106</v>
      </c>
      <c r="L179" s="379"/>
      <c r="M179" s="379"/>
      <c r="N179" s="379"/>
      <c r="O179" s="380"/>
      <c r="P179" s="379"/>
      <c r="Q179" s="557" t="s">
        <v>89</v>
      </c>
      <c r="R179" s="561">
        <v>-84</v>
      </c>
      <c r="S179" s="548"/>
      <c r="T179" s="552">
        <v>1</v>
      </c>
      <c r="U179" s="548"/>
      <c r="V179" s="555">
        <v>-83</v>
      </c>
      <c r="W179" s="379"/>
      <c r="X179" s="556">
        <v>0.2432432432432432</v>
      </c>
      <c r="Y179" s="379"/>
      <c r="Z179" s="556">
        <v>0.21698113207547165</v>
      </c>
      <c r="AA179" s="379"/>
      <c r="AB179" s="379"/>
      <c r="AC179" s="373"/>
    </row>
    <row r="180" spans="2:29" ht="12.75">
      <c r="B180" s="375"/>
      <c r="C180" s="103"/>
      <c r="D180" s="557" t="s">
        <v>9</v>
      </c>
      <c r="E180" s="561">
        <v>-49</v>
      </c>
      <c r="F180" s="548"/>
      <c r="G180" s="610">
        <v>1</v>
      </c>
      <c r="H180" s="552">
        <v>-3</v>
      </c>
      <c r="I180" s="576">
        <v>9</v>
      </c>
      <c r="J180" s="548"/>
      <c r="K180" s="552">
        <v>-42</v>
      </c>
      <c r="L180" s="548"/>
      <c r="M180" s="548"/>
      <c r="N180" s="548"/>
      <c r="O180" s="575"/>
      <c r="P180" s="548"/>
      <c r="Q180" s="557" t="s">
        <v>9</v>
      </c>
      <c r="R180" s="561">
        <v>-32</v>
      </c>
      <c r="S180" s="548"/>
      <c r="T180" s="552"/>
      <c r="U180" s="548"/>
      <c r="V180" s="555">
        <v>-32</v>
      </c>
      <c r="W180" s="548"/>
      <c r="X180" s="556">
        <v>0.34693877551020413</v>
      </c>
      <c r="Y180" s="548"/>
      <c r="Z180" s="556">
        <v>0.23809523809523814</v>
      </c>
      <c r="AA180" s="548"/>
      <c r="AB180" s="548"/>
      <c r="AC180" s="373"/>
    </row>
    <row r="181" spans="2:31" ht="12.75">
      <c r="B181" s="375"/>
      <c r="C181" s="103"/>
      <c r="D181" s="557" t="s">
        <v>187</v>
      </c>
      <c r="E181" s="561">
        <v>31</v>
      </c>
      <c r="F181" s="548"/>
      <c r="G181" s="577"/>
      <c r="H181" s="552">
        <v>-4</v>
      </c>
      <c r="I181" s="576">
        <v>-21</v>
      </c>
      <c r="J181" s="548"/>
      <c r="K181" s="552">
        <v>6</v>
      </c>
      <c r="L181" s="548"/>
      <c r="M181" s="548"/>
      <c r="N181" s="548"/>
      <c r="O181" s="575"/>
      <c r="P181" s="548"/>
      <c r="Q181" s="557" t="s">
        <v>187</v>
      </c>
      <c r="R181" s="561">
        <v>42</v>
      </c>
      <c r="S181" s="548"/>
      <c r="T181" s="552"/>
      <c r="U181" s="548"/>
      <c r="V181" s="555">
        <v>42</v>
      </c>
      <c r="W181" s="548"/>
      <c r="X181" s="556">
        <v>0.35483870967741926</v>
      </c>
      <c r="Y181" s="548"/>
      <c r="Z181" s="556"/>
      <c r="AA181" s="548"/>
      <c r="AB181" s="548"/>
      <c r="AC181" s="373"/>
      <c r="AE181" s="97"/>
    </row>
    <row r="182" spans="2:29" s="97" customFormat="1" ht="12.75">
      <c r="B182" s="441"/>
      <c r="C182" s="100"/>
      <c r="D182" s="619" t="s">
        <v>188</v>
      </c>
      <c r="E182" s="561">
        <v>20</v>
      </c>
      <c r="F182" s="548"/>
      <c r="G182" s="577"/>
      <c r="H182" s="552"/>
      <c r="I182" s="576">
        <v>26</v>
      </c>
      <c r="J182" s="548"/>
      <c r="K182" s="552">
        <v>46</v>
      </c>
      <c r="L182" s="548"/>
      <c r="M182" s="548"/>
      <c r="N182" s="548"/>
      <c r="O182" s="575"/>
      <c r="P182" s="548"/>
      <c r="Q182" s="619" t="s">
        <v>188</v>
      </c>
      <c r="R182" s="561">
        <v>43</v>
      </c>
      <c r="S182" s="548"/>
      <c r="T182" s="552">
        <v>-2</v>
      </c>
      <c r="U182" s="548"/>
      <c r="V182" s="555">
        <v>41</v>
      </c>
      <c r="W182" s="548"/>
      <c r="X182" s="556"/>
      <c r="Y182" s="548"/>
      <c r="Z182" s="556"/>
      <c r="AA182" s="548"/>
      <c r="AB182" s="548"/>
      <c r="AC182" s="618"/>
    </row>
    <row r="183" spans="2:31" s="97" customFormat="1" ht="12.75">
      <c r="B183" s="375"/>
      <c r="C183" s="103"/>
      <c r="D183" s="272" t="s">
        <v>10</v>
      </c>
      <c r="E183" s="384">
        <v>5621</v>
      </c>
      <c r="F183" s="579"/>
      <c r="G183" s="274">
        <v>23</v>
      </c>
      <c r="H183" s="275">
        <v>-8</v>
      </c>
      <c r="I183" s="580">
        <v>2</v>
      </c>
      <c r="J183" s="548"/>
      <c r="K183" s="275">
        <v>5638</v>
      </c>
      <c r="L183" s="548"/>
      <c r="M183" s="548"/>
      <c r="N183" s="548"/>
      <c r="O183" s="575"/>
      <c r="P183" s="548"/>
      <c r="Q183" s="272" t="s">
        <v>10</v>
      </c>
      <c r="R183" s="384">
        <v>5138</v>
      </c>
      <c r="S183" s="548"/>
      <c r="T183" s="381">
        <v>142</v>
      </c>
      <c r="U183" s="548"/>
      <c r="V183" s="276">
        <v>5280</v>
      </c>
      <c r="W183" s="548"/>
      <c r="X183" s="277">
        <v>-0.08592777085927772</v>
      </c>
      <c r="Y183" s="548"/>
      <c r="Z183" s="277">
        <v>-0.06349769421780771</v>
      </c>
      <c r="AA183" s="548"/>
      <c r="AB183" s="548"/>
      <c r="AC183" s="374"/>
      <c r="AE183" s="88"/>
    </row>
    <row r="184" spans="2:29" ht="12.75">
      <c r="B184" s="375"/>
      <c r="C184" s="103"/>
      <c r="D184" s="581"/>
      <c r="E184" s="561"/>
      <c r="F184" s="548"/>
      <c r="G184" s="577"/>
      <c r="H184" s="577"/>
      <c r="I184" s="576"/>
      <c r="J184" s="548"/>
      <c r="K184" s="552"/>
      <c r="L184" s="548"/>
      <c r="M184" s="548"/>
      <c r="N184" s="548"/>
      <c r="O184" s="575"/>
      <c r="P184" s="548"/>
      <c r="Q184" s="581"/>
      <c r="R184" s="561"/>
      <c r="S184" s="548"/>
      <c r="T184" s="552"/>
      <c r="U184" s="548"/>
      <c r="V184" s="555"/>
      <c r="W184" s="548"/>
      <c r="X184" s="578"/>
      <c r="Y184" s="548"/>
      <c r="Z184" s="578"/>
      <c r="AA184" s="548"/>
      <c r="AB184" s="548"/>
      <c r="AC184" s="374"/>
    </row>
    <row r="185" spans="2:29" ht="12.75">
      <c r="B185" s="375"/>
      <c r="C185" s="103"/>
      <c r="D185" s="258" t="s">
        <v>69</v>
      </c>
      <c r="E185" s="583"/>
      <c r="F185" s="548"/>
      <c r="G185" s="577"/>
      <c r="H185" s="577"/>
      <c r="I185" s="576"/>
      <c r="J185" s="548"/>
      <c r="K185" s="552"/>
      <c r="L185" s="548"/>
      <c r="M185" s="548"/>
      <c r="N185" s="548"/>
      <c r="O185" s="575"/>
      <c r="P185" s="548"/>
      <c r="Q185" s="258" t="s">
        <v>69</v>
      </c>
      <c r="R185" s="583"/>
      <c r="S185" s="548"/>
      <c r="T185" s="552"/>
      <c r="U185" s="548"/>
      <c r="V185" s="555"/>
      <c r="W185" s="548"/>
      <c r="X185" s="578"/>
      <c r="Y185" s="548"/>
      <c r="Z185" s="578"/>
      <c r="AA185" s="548"/>
      <c r="AB185" s="548"/>
      <c r="AC185" s="374"/>
    </row>
    <row r="186" spans="2:31" s="97" customFormat="1" ht="12.75">
      <c r="B186" s="399"/>
      <c r="C186" s="109"/>
      <c r="D186" s="612" t="s">
        <v>7</v>
      </c>
      <c r="E186" s="613">
        <v>0.3060396400145659</v>
      </c>
      <c r="F186" s="573"/>
      <c r="G186" s="585"/>
      <c r="H186" s="585"/>
      <c r="I186" s="574"/>
      <c r="J186" s="548"/>
      <c r="K186" s="614">
        <v>0.3049072723484059</v>
      </c>
      <c r="L186" s="548"/>
      <c r="M186" s="548"/>
      <c r="N186" s="548"/>
      <c r="O186" s="575"/>
      <c r="P186" s="548"/>
      <c r="Q186" s="612" t="s">
        <v>7</v>
      </c>
      <c r="R186" s="613">
        <v>0.28628230616302186</v>
      </c>
      <c r="S186" s="548"/>
      <c r="T186" s="544"/>
      <c r="U186" s="548"/>
      <c r="V186" s="832">
        <v>0.29395847139385906</v>
      </c>
      <c r="W186" s="548"/>
      <c r="X186" s="587">
        <v>-1.9757333851544046</v>
      </c>
      <c r="Y186" s="548"/>
      <c r="Z186" s="587">
        <v>-1.0948800954546867</v>
      </c>
      <c r="AA186" s="548"/>
      <c r="AB186" s="548"/>
      <c r="AC186" s="400"/>
      <c r="AE186" s="88"/>
    </row>
    <row r="187" spans="2:29" ht="12.75">
      <c r="B187" s="375"/>
      <c r="C187" s="103"/>
      <c r="D187" s="557" t="s">
        <v>8</v>
      </c>
      <c r="E187" s="588">
        <v>-0.16012084592145015</v>
      </c>
      <c r="F187" s="548"/>
      <c r="G187" s="577"/>
      <c r="H187" s="577"/>
      <c r="I187" s="576"/>
      <c r="J187" s="548"/>
      <c r="K187" s="589">
        <v>-0.08296943231441048</v>
      </c>
      <c r="L187" s="548"/>
      <c r="M187" s="548"/>
      <c r="N187" s="548"/>
      <c r="O187" s="575"/>
      <c r="P187" s="548"/>
      <c r="Q187" s="557" t="s">
        <v>8</v>
      </c>
      <c r="R187" s="588">
        <v>-0.05334538878842676</v>
      </c>
      <c r="S187" s="548"/>
      <c r="T187" s="552"/>
      <c r="U187" s="548"/>
      <c r="V187" s="829">
        <v>-0.04972875226039783</v>
      </c>
      <c r="W187" s="548"/>
      <c r="X187" s="590">
        <v>10.677545713302338</v>
      </c>
      <c r="Y187" s="548"/>
      <c r="Z187" s="590">
        <v>3.324068005401265</v>
      </c>
      <c r="AA187" s="548"/>
      <c r="AB187" s="548"/>
      <c r="AC187" s="374"/>
    </row>
    <row r="188" spans="2:29" ht="12.75">
      <c r="B188" s="375"/>
      <c r="C188" s="103"/>
      <c r="D188" s="557" t="s">
        <v>31</v>
      </c>
      <c r="E188" s="588">
        <v>-0.01683381088825215</v>
      </c>
      <c r="F188" s="548"/>
      <c r="G188" s="577"/>
      <c r="H188" s="577"/>
      <c r="I188" s="576"/>
      <c r="J188" s="548"/>
      <c r="K188" s="589">
        <v>-0.015188979159307664</v>
      </c>
      <c r="L188" s="548"/>
      <c r="M188" s="548"/>
      <c r="N188" s="548"/>
      <c r="O188" s="575"/>
      <c r="P188" s="548"/>
      <c r="Q188" s="557" t="s">
        <v>31</v>
      </c>
      <c r="R188" s="588">
        <v>0.012212045517624202</v>
      </c>
      <c r="S188" s="548"/>
      <c r="T188" s="552"/>
      <c r="U188" s="548"/>
      <c r="V188" s="829">
        <v>0.012212045517624202</v>
      </c>
      <c r="W188" s="548"/>
      <c r="X188" s="590">
        <v>2.9045856405876354</v>
      </c>
      <c r="Y188" s="379"/>
      <c r="Z188" s="590">
        <v>2.7401024676931867</v>
      </c>
      <c r="AA188" s="548"/>
      <c r="AB188" s="548"/>
      <c r="AC188" s="374"/>
    </row>
    <row r="189" spans="2:29" ht="12.75">
      <c r="B189" s="375"/>
      <c r="C189" s="103"/>
      <c r="D189" s="557" t="s">
        <v>89</v>
      </c>
      <c r="E189" s="588">
        <v>-0.8161764705882353</v>
      </c>
      <c r="F189" s="548"/>
      <c r="G189" s="577"/>
      <c r="H189" s="577"/>
      <c r="I189" s="576"/>
      <c r="J189" s="548"/>
      <c r="K189" s="589">
        <v>-0.7794117647058824</v>
      </c>
      <c r="L189" s="548"/>
      <c r="M189" s="548"/>
      <c r="N189" s="548"/>
      <c r="O189" s="575"/>
      <c r="P189" s="548"/>
      <c r="Q189" s="557" t="s">
        <v>89</v>
      </c>
      <c r="R189" s="588">
        <v>-0.47191011235955055</v>
      </c>
      <c r="S189" s="548"/>
      <c r="T189" s="552"/>
      <c r="U189" s="548"/>
      <c r="V189" s="829">
        <v>-0.46629213483146065</v>
      </c>
      <c r="W189" s="548"/>
      <c r="X189" s="590">
        <v>34.42663582286848</v>
      </c>
      <c r="Y189" s="379"/>
      <c r="Z189" s="590">
        <v>31.311962987442172</v>
      </c>
      <c r="AA189" s="548"/>
      <c r="AB189" s="548"/>
      <c r="AC189" s="374"/>
    </row>
    <row r="190" spans="2:29" ht="12.75">
      <c r="B190" s="375"/>
      <c r="C190" s="103"/>
      <c r="D190" s="557" t="s">
        <v>9</v>
      </c>
      <c r="E190" s="588">
        <v>-0.1644295302013423</v>
      </c>
      <c r="F190" s="548"/>
      <c r="G190" s="577"/>
      <c r="H190" s="577"/>
      <c r="I190" s="576"/>
      <c r="J190" s="548"/>
      <c r="K190" s="589">
        <v>-0.14093959731543623</v>
      </c>
      <c r="L190" s="548"/>
      <c r="M190" s="548"/>
      <c r="N190" s="548"/>
      <c r="O190" s="575"/>
      <c r="P190" s="548"/>
      <c r="Q190" s="557" t="s">
        <v>9</v>
      </c>
      <c r="R190" s="588">
        <v>-0.11307420494699646</v>
      </c>
      <c r="S190" s="548"/>
      <c r="T190" s="552"/>
      <c r="U190" s="548"/>
      <c r="V190" s="829">
        <v>-0.11307420494699646</v>
      </c>
      <c r="W190" s="548"/>
      <c r="X190" s="590">
        <v>5.1355325254345825</v>
      </c>
      <c r="Y190" s="379"/>
      <c r="Z190" s="590">
        <v>2.7865392368439768</v>
      </c>
      <c r="AA190" s="548"/>
      <c r="AB190" s="548"/>
      <c r="AC190" s="374"/>
    </row>
    <row r="191" spans="2:29" ht="12.75">
      <c r="B191" s="375"/>
      <c r="C191" s="103"/>
      <c r="D191" s="272" t="s">
        <v>10</v>
      </c>
      <c r="E191" s="281">
        <v>0.2432912049861496</v>
      </c>
      <c r="F191" s="579"/>
      <c r="G191" s="602"/>
      <c r="H191" s="602"/>
      <c r="I191" s="603"/>
      <c r="J191" s="548"/>
      <c r="K191" s="282">
        <v>0.24136307204931717</v>
      </c>
      <c r="L191" s="548"/>
      <c r="M191" s="548"/>
      <c r="N191" s="548"/>
      <c r="O191" s="575"/>
      <c r="P191" s="548"/>
      <c r="Q191" s="272" t="s">
        <v>10</v>
      </c>
      <c r="R191" s="281">
        <v>0.22139871590468393</v>
      </c>
      <c r="S191" s="548"/>
      <c r="T191" s="562"/>
      <c r="U191" s="548"/>
      <c r="V191" s="830">
        <v>0.22751755935709053</v>
      </c>
      <c r="W191" s="548"/>
      <c r="X191" s="596">
        <v>-2.1892489081465656</v>
      </c>
      <c r="Y191" s="100"/>
      <c r="Z191" s="596">
        <v>-1.3</v>
      </c>
      <c r="AA191" s="548"/>
      <c r="AB191" s="548"/>
      <c r="AC191" s="374"/>
    </row>
    <row r="192" spans="2:29" ht="13.5" thickBot="1">
      <c r="B192" s="375"/>
      <c r="C192" s="103"/>
      <c r="D192" s="286"/>
      <c r="E192" s="385"/>
      <c r="F192" s="385"/>
      <c r="G192" s="287"/>
      <c r="H192" s="287"/>
      <c r="I192" s="604"/>
      <c r="J192" s="385"/>
      <c r="K192" s="385"/>
      <c r="L192" s="385"/>
      <c r="M192" s="385"/>
      <c r="N192" s="385"/>
      <c r="O192" s="386"/>
      <c r="P192" s="379"/>
      <c r="Q192" s="288"/>
      <c r="R192" s="387"/>
      <c r="S192" s="387"/>
      <c r="T192" s="387"/>
      <c r="U192" s="387"/>
      <c r="V192" s="289"/>
      <c r="W192" s="379"/>
      <c r="X192" s="388"/>
      <c r="Y192" s="379"/>
      <c r="Z192" s="388"/>
      <c r="AA192" s="379"/>
      <c r="AB192" s="379"/>
      <c r="AC192" s="374"/>
    </row>
    <row r="193" spans="2:29" ht="13.5" thickTop="1">
      <c r="B193" s="375"/>
      <c r="C193" s="103"/>
      <c r="D193" s="1533" t="s">
        <v>200</v>
      </c>
      <c r="E193" s="1533"/>
      <c r="F193" s="1533"/>
      <c r="G193" s="1533"/>
      <c r="H193" s="1533"/>
      <c r="I193" s="1533"/>
      <c r="J193" s="1533"/>
      <c r="K193" s="1533"/>
      <c r="L193" s="1533"/>
      <c r="M193" s="1533"/>
      <c r="N193" s="1533"/>
      <c r="O193" s="1533"/>
      <c r="P193" s="1533"/>
      <c r="Q193" s="1533"/>
      <c r="R193" s="1533"/>
      <c r="S193" s="1533"/>
      <c r="T193" s="1533"/>
      <c r="U193" s="1533"/>
      <c r="V193" s="1533"/>
      <c r="W193" s="1533"/>
      <c r="X193" s="1533"/>
      <c r="Y193" s="1533"/>
      <c r="Z193" s="1533"/>
      <c r="AA193" s="389"/>
      <c r="AB193" s="389"/>
      <c r="AC193" s="374"/>
    </row>
    <row r="194" spans="2:29" ht="12.75">
      <c r="B194" s="375"/>
      <c r="C194" s="103"/>
      <c r="D194" s="1533"/>
      <c r="E194" s="1533"/>
      <c r="F194" s="1533"/>
      <c r="G194" s="1533"/>
      <c r="H194" s="1533"/>
      <c r="I194" s="1533"/>
      <c r="J194" s="1533"/>
      <c r="K194" s="1533"/>
      <c r="L194" s="1533"/>
      <c r="M194" s="1533"/>
      <c r="N194" s="1533"/>
      <c r="O194" s="1533"/>
      <c r="P194" s="1533"/>
      <c r="Q194" s="1533"/>
      <c r="R194" s="1533"/>
      <c r="S194" s="1533"/>
      <c r="T194" s="1533"/>
      <c r="U194" s="1533"/>
      <c r="V194" s="1533"/>
      <c r="W194" s="1533"/>
      <c r="X194" s="1533"/>
      <c r="Y194" s="1533"/>
      <c r="Z194" s="1533"/>
      <c r="AA194" s="389"/>
      <c r="AB194" s="389"/>
      <c r="AC194" s="374"/>
    </row>
    <row r="195" spans="2:31" ht="12.75">
      <c r="B195" s="375"/>
      <c r="C195" s="103"/>
      <c r="D195" s="1542" t="s">
        <v>195</v>
      </c>
      <c r="E195" s="1543"/>
      <c r="F195" s="1543"/>
      <c r="G195" s="1543"/>
      <c r="H195" s="1543"/>
      <c r="I195" s="390" t="s">
        <v>87</v>
      </c>
      <c r="J195" s="390"/>
      <c r="K195" s="391" t="s">
        <v>149</v>
      </c>
      <c r="L195" s="389"/>
      <c r="M195" s="389"/>
      <c r="N195" s="389"/>
      <c r="O195" s="389"/>
      <c r="P195" s="389"/>
      <c r="Q195" s="264" t="s">
        <v>196</v>
      </c>
      <c r="R195" s="265"/>
      <c r="S195" s="265"/>
      <c r="T195" s="265"/>
      <c r="U195" s="265"/>
      <c r="V195" s="390" t="s">
        <v>87</v>
      </c>
      <c r="W195" s="390"/>
      <c r="X195" s="391" t="s">
        <v>149</v>
      </c>
      <c r="Y195" s="389"/>
      <c r="Z195" s="389"/>
      <c r="AA195" s="389"/>
      <c r="AB195" s="389"/>
      <c r="AC195" s="374"/>
      <c r="AE195" s="97"/>
    </row>
    <row r="196" spans="2:29" s="97" customFormat="1" ht="12.75">
      <c r="B196" s="441"/>
      <c r="C196" s="100"/>
      <c r="D196" s="667" t="s">
        <v>336</v>
      </c>
      <c r="E196" s="379"/>
      <c r="F196" s="379"/>
      <c r="G196" s="401"/>
      <c r="H196" s="401"/>
      <c r="I196" s="661">
        <v>92</v>
      </c>
      <c r="J196" s="548"/>
      <c r="K196" s="664">
        <v>102</v>
      </c>
      <c r="L196" s="379"/>
      <c r="M196" s="379"/>
      <c r="N196" s="379"/>
      <c r="O196" s="379"/>
      <c r="P196" s="379"/>
      <c r="Q196" s="667" t="s">
        <v>336</v>
      </c>
      <c r="R196" s="379"/>
      <c r="S196" s="379"/>
      <c r="T196" s="401"/>
      <c r="U196" s="401"/>
      <c r="V196" s="548">
        <v>92</v>
      </c>
      <c r="W196" s="379"/>
      <c r="X196" s="561">
        <v>102</v>
      </c>
      <c r="Y196" s="379"/>
      <c r="Z196" s="379"/>
      <c r="AA196" s="379"/>
      <c r="AB196" s="379"/>
      <c r="AC196" s="442"/>
    </row>
    <row r="197" spans="2:29" s="97" customFormat="1" ht="12.75">
      <c r="B197" s="441"/>
      <c r="C197" s="100"/>
      <c r="D197" s="620" t="s">
        <v>191</v>
      </c>
      <c r="E197" s="379"/>
      <c r="F197" s="379"/>
      <c r="G197" s="401"/>
      <c r="H197" s="401"/>
      <c r="I197" s="661">
        <v>10</v>
      </c>
      <c r="J197" s="548"/>
      <c r="K197" s="664"/>
      <c r="L197" s="379"/>
      <c r="M197" s="379"/>
      <c r="N197" s="379"/>
      <c r="O197" s="379"/>
      <c r="P197" s="379"/>
      <c r="Q197" s="620" t="s">
        <v>191</v>
      </c>
      <c r="R197" s="379"/>
      <c r="S197" s="379"/>
      <c r="T197" s="401"/>
      <c r="U197" s="401"/>
      <c r="V197" s="665">
        <v>10</v>
      </c>
      <c r="W197" s="379"/>
      <c r="X197" s="561"/>
      <c r="Y197" s="379"/>
      <c r="Z197" s="379"/>
      <c r="AA197" s="379"/>
      <c r="AB197" s="379"/>
      <c r="AC197" s="442"/>
    </row>
    <row r="198" spans="2:29" s="97" customFormat="1" ht="12.75">
      <c r="B198" s="441"/>
      <c r="C198" s="100"/>
      <c r="D198" s="620" t="s">
        <v>298</v>
      </c>
      <c r="E198" s="379"/>
      <c r="F198" s="379"/>
      <c r="G198" s="401"/>
      <c r="H198" s="401"/>
      <c r="I198" s="548"/>
      <c r="J198" s="379"/>
      <c r="K198" s="664">
        <v>33</v>
      </c>
      <c r="L198" s="379"/>
      <c r="M198" s="379"/>
      <c r="N198" s="379"/>
      <c r="O198" s="379"/>
      <c r="P198" s="379"/>
      <c r="Q198" s="620" t="s">
        <v>298</v>
      </c>
      <c r="R198" s="379"/>
      <c r="S198" s="379"/>
      <c r="T198" s="401"/>
      <c r="U198" s="401"/>
      <c r="V198" s="548"/>
      <c r="W198" s="379"/>
      <c r="X198" s="666">
        <v>33</v>
      </c>
      <c r="Y198" s="379"/>
      <c r="Z198" s="379"/>
      <c r="AA198" s="379"/>
      <c r="AB198" s="379"/>
      <c r="AC198" s="442"/>
    </row>
    <row r="199" spans="2:29" s="97" customFormat="1" ht="12.75">
      <c r="B199" s="441"/>
      <c r="C199" s="100"/>
      <c r="D199" s="620" t="s">
        <v>299</v>
      </c>
      <c r="E199" s="379"/>
      <c r="F199" s="379"/>
      <c r="G199" s="401"/>
      <c r="H199" s="401"/>
      <c r="I199" s="548"/>
      <c r="J199" s="379"/>
      <c r="K199" s="664">
        <v>20</v>
      </c>
      <c r="L199" s="379"/>
      <c r="M199" s="379"/>
      <c r="N199" s="379"/>
      <c r="O199" s="379"/>
      <c r="P199" s="379"/>
      <c r="Q199" s="620" t="s">
        <v>299</v>
      </c>
      <c r="R199" s="379"/>
      <c r="S199" s="379"/>
      <c r="T199" s="401"/>
      <c r="U199" s="401"/>
      <c r="V199" s="548"/>
      <c r="W199" s="379"/>
      <c r="X199" s="666">
        <v>20</v>
      </c>
      <c r="Y199" s="379"/>
      <c r="Z199" s="379"/>
      <c r="AA199" s="379"/>
      <c r="AB199" s="379"/>
      <c r="AC199" s="442"/>
    </row>
    <row r="200" spans="2:29" s="97" customFormat="1" ht="12.75">
      <c r="B200" s="441"/>
      <c r="C200" s="100"/>
      <c r="D200" s="620" t="s">
        <v>192</v>
      </c>
      <c r="E200" s="379"/>
      <c r="F200" s="379"/>
      <c r="G200" s="401"/>
      <c r="H200" s="401"/>
      <c r="I200" s="661">
        <v>17</v>
      </c>
      <c r="J200" s="548"/>
      <c r="K200" s="664">
        <v>1</v>
      </c>
      <c r="L200" s="379"/>
      <c r="M200" s="379"/>
      <c r="N200" s="379"/>
      <c r="O200" s="379"/>
      <c r="P200" s="379"/>
      <c r="Q200" s="620" t="s">
        <v>193</v>
      </c>
      <c r="R200" s="379"/>
      <c r="S200" s="379"/>
      <c r="T200" s="401"/>
      <c r="U200" s="401"/>
      <c r="V200" s="548">
        <v>-123</v>
      </c>
      <c r="W200" s="379"/>
      <c r="X200" s="561"/>
      <c r="Y200" s="379"/>
      <c r="Z200" s="379"/>
      <c r="AA200" s="379"/>
      <c r="AB200" s="379"/>
      <c r="AC200" s="442"/>
    </row>
    <row r="201" spans="2:29" s="97" customFormat="1" ht="12.75">
      <c r="B201" s="441"/>
      <c r="C201" s="100"/>
      <c r="D201" s="621" t="s">
        <v>139</v>
      </c>
      <c r="E201" s="402"/>
      <c r="F201" s="402"/>
      <c r="G201" s="403"/>
      <c r="H201" s="403"/>
      <c r="I201" s="631">
        <v>119</v>
      </c>
      <c r="J201" s="402"/>
      <c r="K201" s="633">
        <v>156</v>
      </c>
      <c r="L201" s="379"/>
      <c r="M201" s="379"/>
      <c r="N201" s="379"/>
      <c r="O201" s="379"/>
      <c r="P201" s="379"/>
      <c r="Q201" s="620" t="s">
        <v>194</v>
      </c>
      <c r="R201" s="379"/>
      <c r="S201" s="379"/>
      <c r="T201" s="401"/>
      <c r="U201" s="401"/>
      <c r="V201" s="548">
        <v>-27</v>
      </c>
      <c r="W201" s="379"/>
      <c r="X201" s="666">
        <v>-10</v>
      </c>
      <c r="Y201" s="379"/>
      <c r="Z201" s="379"/>
      <c r="AA201" s="379"/>
      <c r="AB201" s="379"/>
      <c r="AC201" s="442"/>
    </row>
    <row r="202" spans="2:29" s="97" customFormat="1" ht="12.75">
      <c r="B202" s="441"/>
      <c r="C202" s="100"/>
      <c r="D202" s="622"/>
      <c r="E202" s="379"/>
      <c r="F202" s="379"/>
      <c r="G202" s="401"/>
      <c r="H202" s="401"/>
      <c r="I202" s="632"/>
      <c r="J202" s="379"/>
      <c r="K202" s="632"/>
      <c r="L202" s="379"/>
      <c r="M202" s="379"/>
      <c r="N202" s="379"/>
      <c r="O202" s="379"/>
      <c r="P202" s="379"/>
      <c r="Q202" s="620" t="s">
        <v>302</v>
      </c>
      <c r="R202" s="379"/>
      <c r="S202" s="379"/>
      <c r="T202" s="401"/>
      <c r="U202" s="401"/>
      <c r="V202" s="665">
        <v>25</v>
      </c>
      <c r="W202" s="379"/>
      <c r="X202" s="666">
        <v>0</v>
      </c>
      <c r="Y202" s="379"/>
      <c r="Z202" s="379"/>
      <c r="AA202" s="379"/>
      <c r="AB202" s="379"/>
      <c r="AC202" s="442"/>
    </row>
    <row r="203" spans="2:29" s="97" customFormat="1" ht="12.75">
      <c r="B203" s="441"/>
      <c r="C203" s="100"/>
      <c r="D203" s="622"/>
      <c r="E203" s="379"/>
      <c r="F203" s="379"/>
      <c r="G203" s="401"/>
      <c r="H203" s="401"/>
      <c r="I203" s="632"/>
      <c r="J203" s="379"/>
      <c r="K203" s="632"/>
      <c r="L203" s="379"/>
      <c r="M203" s="379"/>
      <c r="N203" s="379"/>
      <c r="O203" s="379"/>
      <c r="P203" s="379"/>
      <c r="Q203" s="620" t="s">
        <v>303</v>
      </c>
      <c r="R203" s="379"/>
      <c r="S203" s="379"/>
      <c r="T203" s="401"/>
      <c r="U203" s="401"/>
      <c r="V203" s="665">
        <v>9</v>
      </c>
      <c r="W203" s="379"/>
      <c r="X203" s="666"/>
      <c r="Y203" s="379"/>
      <c r="Z203" s="379"/>
      <c r="AA203" s="379"/>
      <c r="AB203" s="379"/>
      <c r="AC203" s="442"/>
    </row>
    <row r="204" spans="2:29" s="97" customFormat="1" ht="12.75">
      <c r="B204" s="441"/>
      <c r="C204" s="100"/>
      <c r="D204" s="675"/>
      <c r="E204" s="675"/>
      <c r="F204" s="675"/>
      <c r="G204" s="675"/>
      <c r="H204" s="675"/>
      <c r="I204" s="675"/>
      <c r="J204" s="100"/>
      <c r="K204" s="675"/>
      <c r="L204" s="379"/>
      <c r="M204" s="379"/>
      <c r="N204" s="379"/>
      <c r="O204" s="379"/>
      <c r="P204" s="379"/>
      <c r="Q204" s="620" t="s">
        <v>192</v>
      </c>
      <c r="R204" s="379"/>
      <c r="S204" s="379"/>
      <c r="T204" s="401"/>
      <c r="U204" s="401"/>
      <c r="V204" s="665">
        <v>16</v>
      </c>
      <c r="W204" s="379"/>
      <c r="X204" s="561">
        <v>-3</v>
      </c>
      <c r="Y204" s="379"/>
      <c r="Z204" s="379"/>
      <c r="AA204" s="379"/>
      <c r="AB204" s="379"/>
      <c r="AC204" s="442"/>
    </row>
    <row r="205" spans="2:31" s="97" customFormat="1" ht="12.75">
      <c r="B205" s="441"/>
      <c r="C205" s="100"/>
      <c r="D205" s="675"/>
      <c r="E205" s="675"/>
      <c r="F205" s="675"/>
      <c r="G205" s="675"/>
      <c r="H205" s="675"/>
      <c r="I205" s="675"/>
      <c r="J205" s="100"/>
      <c r="K205" s="675"/>
      <c r="L205" s="379"/>
      <c r="M205" s="379"/>
      <c r="N205" s="379"/>
      <c r="O205" s="379"/>
      <c r="P205" s="379"/>
      <c r="Q205" s="621" t="s">
        <v>139</v>
      </c>
      <c r="R205" s="402"/>
      <c r="S205" s="402"/>
      <c r="T205" s="403"/>
      <c r="U205" s="403"/>
      <c r="V205" s="402">
        <v>2</v>
      </c>
      <c r="W205" s="402"/>
      <c r="X205" s="384">
        <v>142</v>
      </c>
      <c r="Y205" s="379"/>
      <c r="Z205" s="379"/>
      <c r="AA205" s="379"/>
      <c r="AB205" s="379"/>
      <c r="AC205" s="442"/>
      <c r="AE205" s="88"/>
    </row>
    <row r="206" spans="2:29" ht="12.75">
      <c r="B206" s="375"/>
      <c r="C206" s="103"/>
      <c r="D206" s="245"/>
      <c r="E206" s="389"/>
      <c r="F206" s="389"/>
      <c r="G206" s="392"/>
      <c r="H206" s="392"/>
      <c r="I206" s="607"/>
      <c r="J206" s="389"/>
      <c r="K206" s="389"/>
      <c r="L206" s="389"/>
      <c r="M206" s="389"/>
      <c r="N206" s="389"/>
      <c r="O206" s="389"/>
      <c r="P206" s="389"/>
      <c r="Q206" s="389"/>
      <c r="R206" s="389"/>
      <c r="S206" s="389"/>
      <c r="T206" s="389"/>
      <c r="U206" s="389"/>
      <c r="V206" s="389"/>
      <c r="W206" s="389"/>
      <c r="X206" s="389"/>
      <c r="Y206" s="389"/>
      <c r="Z206" s="389"/>
      <c r="AA206" s="389"/>
      <c r="AB206" s="389"/>
      <c r="AC206" s="374"/>
    </row>
    <row r="207" spans="2:29" ht="12.75">
      <c r="B207" s="397"/>
      <c r="C207" s="105"/>
      <c r="D207" s="102"/>
      <c r="E207" s="105"/>
      <c r="F207" s="106"/>
      <c r="G207" s="105"/>
      <c r="H207" s="105"/>
      <c r="I207" s="608"/>
      <c r="J207" s="106"/>
      <c r="K207" s="105"/>
      <c r="L207" s="105"/>
      <c r="M207" s="105"/>
      <c r="N207" s="235"/>
      <c r="O207" s="235"/>
      <c r="P207" s="235"/>
      <c r="Q207" s="105"/>
      <c r="R207" s="105"/>
      <c r="S207" s="105"/>
      <c r="T207" s="105"/>
      <c r="U207" s="105"/>
      <c r="V207" s="105"/>
      <c r="W207" s="235"/>
      <c r="X207" s="105"/>
      <c r="Y207" s="235"/>
      <c r="Z207" s="105"/>
      <c r="AA207" s="235"/>
      <c r="AB207" s="105"/>
      <c r="AC207" s="398"/>
    </row>
    <row r="208" spans="2:29" ht="12.75">
      <c r="B208" s="121"/>
      <c r="C208" s="121"/>
      <c r="D208" s="121"/>
      <c r="E208" s="121"/>
      <c r="F208" s="675"/>
      <c r="G208" s="675"/>
      <c r="H208" s="675"/>
      <c r="I208" s="197"/>
      <c r="J208" s="100"/>
      <c r="K208" s="675"/>
      <c r="L208" s="675"/>
      <c r="M208" s="675"/>
      <c r="N208" s="675"/>
      <c r="O208" s="675"/>
      <c r="P208" s="675"/>
      <c r="Q208" s="675"/>
      <c r="R208" s="675"/>
      <c r="S208" s="675"/>
      <c r="T208" s="675"/>
      <c r="U208" s="675"/>
      <c r="V208" s="675"/>
      <c r="W208" s="675"/>
      <c r="X208" s="675"/>
      <c r="Y208" s="675"/>
      <c r="Z208" s="675"/>
      <c r="AA208" s="675"/>
      <c r="AB208" s="675"/>
      <c r="AC208" s="121"/>
    </row>
    <row r="209" spans="2:29" ht="12.75">
      <c r="B209" s="121"/>
      <c r="C209" s="121"/>
      <c r="D209" s="121"/>
      <c r="E209" s="121"/>
      <c r="F209" s="675"/>
      <c r="G209" s="675"/>
      <c r="H209" s="675"/>
      <c r="I209" s="197"/>
      <c r="J209" s="100"/>
      <c r="K209" s="675"/>
      <c r="L209" s="675"/>
      <c r="M209" s="675"/>
      <c r="N209" s="675"/>
      <c r="O209" s="675"/>
      <c r="P209" s="675"/>
      <c r="Q209" s="675"/>
      <c r="R209" s="675"/>
      <c r="S209" s="675"/>
      <c r="T209" s="675"/>
      <c r="U209" s="675"/>
      <c r="V209" s="675"/>
      <c r="W209" s="675"/>
      <c r="X209" s="675"/>
      <c r="Y209" s="675"/>
      <c r="Z209" s="675"/>
      <c r="AA209" s="675"/>
      <c r="AB209" s="675"/>
      <c r="AC209" s="121"/>
    </row>
    <row r="210" spans="2:29" ht="12.75">
      <c r="B210" s="1514"/>
      <c r="C210" s="1515"/>
      <c r="D210" s="1515"/>
      <c r="E210" s="1515"/>
      <c r="F210" s="1515"/>
      <c r="G210" s="1515"/>
      <c r="H210" s="1515"/>
      <c r="I210" s="1515"/>
      <c r="J210" s="1515"/>
      <c r="K210" s="1515"/>
      <c r="L210" s="1515"/>
      <c r="M210" s="1515"/>
      <c r="N210" s="1515"/>
      <c r="O210" s="1515"/>
      <c r="P210" s="1515"/>
      <c r="Q210" s="1515"/>
      <c r="R210" s="1515"/>
      <c r="S210" s="1515"/>
      <c r="T210" s="1515"/>
      <c r="U210" s="1515"/>
      <c r="V210" s="1515"/>
      <c r="W210" s="1515"/>
      <c r="X210" s="1515"/>
      <c r="Y210" s="1515"/>
      <c r="Z210" s="1515"/>
      <c r="AA210" s="1515"/>
      <c r="AB210" s="1515"/>
      <c r="AC210" s="1516"/>
    </row>
    <row r="211" spans="2:29" ht="13.5" thickBot="1">
      <c r="B211" s="1537"/>
      <c r="C211" s="1538"/>
      <c r="D211" s="1538"/>
      <c r="E211" s="1538"/>
      <c r="F211" s="1538"/>
      <c r="G211" s="1538"/>
      <c r="H211" s="1538"/>
      <c r="I211" s="1538"/>
      <c r="J211" s="1538"/>
      <c r="K211" s="1538"/>
      <c r="L211" s="1538"/>
      <c r="M211" s="1538"/>
      <c r="N211" s="1538"/>
      <c r="O211" s="1538"/>
      <c r="P211" s="1538"/>
      <c r="Q211" s="1538"/>
      <c r="R211" s="1538"/>
      <c r="S211" s="1538"/>
      <c r="T211" s="1538"/>
      <c r="U211" s="1538"/>
      <c r="V211" s="1538"/>
      <c r="W211" s="1538"/>
      <c r="X211" s="1538"/>
      <c r="Y211" s="1538"/>
      <c r="Z211" s="1538"/>
      <c r="AA211" s="1538"/>
      <c r="AB211" s="1538"/>
      <c r="AC211" s="1539"/>
    </row>
    <row r="212" spans="2:29" ht="57" thickTop="1">
      <c r="B212" s="98"/>
      <c r="C212" s="240"/>
      <c r="D212" s="1487" t="s">
        <v>88</v>
      </c>
      <c r="E212" s="1470"/>
      <c r="F212" s="1470"/>
      <c r="G212" s="1470"/>
      <c r="H212" s="1470"/>
      <c r="I212" s="1470"/>
      <c r="J212" s="1470"/>
      <c r="K212" s="1470"/>
      <c r="L212" s="1470"/>
      <c r="M212" s="1470"/>
      <c r="N212" s="1470"/>
      <c r="O212" s="1471"/>
      <c r="P212" s="236"/>
      <c r="Q212" s="1487" t="s">
        <v>226</v>
      </c>
      <c r="R212" s="1470"/>
      <c r="S212" s="1470"/>
      <c r="T212" s="1470"/>
      <c r="U212" s="1470"/>
      <c r="V212" s="1471"/>
      <c r="W212" s="811"/>
      <c r="X212" s="833" t="s">
        <v>183</v>
      </c>
      <c r="Y212" s="812"/>
      <c r="Z212" s="833" t="s">
        <v>184</v>
      </c>
      <c r="AA212" s="812"/>
      <c r="AB212" s="833" t="s">
        <v>185</v>
      </c>
      <c r="AC212" s="99"/>
    </row>
    <row r="213" spans="2:29" ht="15.75">
      <c r="B213" s="369"/>
      <c r="C213" s="370"/>
      <c r="D213" s="1472"/>
      <c r="E213" s="1473"/>
      <c r="F213" s="1473"/>
      <c r="G213" s="1473"/>
      <c r="H213" s="1473"/>
      <c r="I213" s="1473"/>
      <c r="J213" s="1473"/>
      <c r="K213" s="1473"/>
      <c r="L213" s="1473"/>
      <c r="M213" s="1473"/>
      <c r="N213" s="1473"/>
      <c r="O213" s="1513"/>
      <c r="P213" s="237"/>
      <c r="Q213" s="1540"/>
      <c r="R213" s="1541"/>
      <c r="S213" s="813"/>
      <c r="T213" s="814"/>
      <c r="U213" s="813"/>
      <c r="V213" s="820"/>
      <c r="W213" s="796"/>
      <c r="X213" s="834"/>
      <c r="Y213" s="796"/>
      <c r="Z213" s="834"/>
      <c r="AA213" s="796"/>
      <c r="AB213" s="834"/>
      <c r="AC213" s="371"/>
    </row>
    <row r="214" spans="2:29" ht="39.75">
      <c r="B214" s="185"/>
      <c r="C214" s="111"/>
      <c r="D214" s="1534" t="s">
        <v>332</v>
      </c>
      <c r="E214" s="1482"/>
      <c r="F214" s="239"/>
      <c r="G214" s="1480" t="s">
        <v>177</v>
      </c>
      <c r="H214" s="1481"/>
      <c r="I214" s="1482"/>
      <c r="J214" s="239"/>
      <c r="K214" s="259" t="s">
        <v>180</v>
      </c>
      <c r="L214" s="110"/>
      <c r="M214" s="259" t="s">
        <v>178</v>
      </c>
      <c r="N214" s="239"/>
      <c r="O214" s="260" t="s">
        <v>209</v>
      </c>
      <c r="P214" s="239"/>
      <c r="Q214" s="1534" t="s">
        <v>179</v>
      </c>
      <c r="R214" s="1481"/>
      <c r="S214" s="793"/>
      <c r="T214" s="793" t="s">
        <v>320</v>
      </c>
      <c r="U214" s="793"/>
      <c r="V214" s="261" t="s">
        <v>189</v>
      </c>
      <c r="W214" s="815"/>
      <c r="X214" s="841" t="s">
        <v>186</v>
      </c>
      <c r="Y214" s="815"/>
      <c r="Z214" s="841" t="s">
        <v>181</v>
      </c>
      <c r="AA214" s="815"/>
      <c r="AB214" s="841" t="s">
        <v>182</v>
      </c>
      <c r="AC214" s="202"/>
    </row>
    <row r="215" spans="2:29" ht="12.75">
      <c r="B215" s="441"/>
      <c r="C215" s="100"/>
      <c r="D215" s="541" t="s">
        <v>11</v>
      </c>
      <c r="E215" s="263"/>
      <c r="F215" s="110"/>
      <c r="G215" s="1535" t="s">
        <v>175</v>
      </c>
      <c r="H215" s="1535" t="s">
        <v>174</v>
      </c>
      <c r="I215" s="1535" t="s">
        <v>211</v>
      </c>
      <c r="J215" s="110"/>
      <c r="K215" s="267"/>
      <c r="L215" s="110"/>
      <c r="M215" s="267"/>
      <c r="N215" s="110"/>
      <c r="O215" s="268"/>
      <c r="P215" s="110"/>
      <c r="Q215" s="541"/>
      <c r="R215" s="263"/>
      <c r="S215" s="110"/>
      <c r="T215" s="266"/>
      <c r="U215" s="110"/>
      <c r="V215" s="268"/>
      <c r="W215" s="815"/>
      <c r="X215" s="842"/>
      <c r="Y215" s="815"/>
      <c r="Z215" s="842"/>
      <c r="AA215" s="815"/>
      <c r="AB215" s="842"/>
      <c r="AC215" s="442"/>
    </row>
    <row r="216" spans="2:31" ht="12.75">
      <c r="B216" s="185"/>
      <c r="C216" s="111"/>
      <c r="D216" s="1519" t="s">
        <v>0</v>
      </c>
      <c r="E216" s="1520"/>
      <c r="F216" s="270"/>
      <c r="G216" s="1536"/>
      <c r="H216" s="1536"/>
      <c r="I216" s="1536"/>
      <c r="J216" s="234"/>
      <c r="K216" s="269"/>
      <c r="L216" s="270"/>
      <c r="M216" s="269"/>
      <c r="N216" s="270"/>
      <c r="O216" s="271"/>
      <c r="P216" s="234"/>
      <c r="Q216" s="1519" t="s">
        <v>0</v>
      </c>
      <c r="R216" s="1520"/>
      <c r="S216" s="234"/>
      <c r="T216" s="269"/>
      <c r="U216" s="234"/>
      <c r="V216" s="271"/>
      <c r="W216" s="817"/>
      <c r="X216" s="843"/>
      <c r="Y216" s="817"/>
      <c r="Z216" s="843"/>
      <c r="AA216" s="817"/>
      <c r="AB216" s="843"/>
      <c r="AC216" s="202"/>
      <c r="AE216" s="97"/>
    </row>
    <row r="217" spans="2:29" s="97" customFormat="1" ht="12.75">
      <c r="B217" s="399"/>
      <c r="C217" s="109"/>
      <c r="D217" s="612" t="s">
        <v>7</v>
      </c>
      <c r="E217" s="676">
        <v>25785</v>
      </c>
      <c r="F217" s="544"/>
      <c r="G217" s="544">
        <v>-11</v>
      </c>
      <c r="H217" s="544">
        <v>-23</v>
      </c>
      <c r="I217" s="677"/>
      <c r="J217" s="552"/>
      <c r="K217" s="678">
        <v>25751</v>
      </c>
      <c r="L217" s="544"/>
      <c r="M217" s="544">
        <v>442</v>
      </c>
      <c r="N217" s="544"/>
      <c r="O217" s="547">
        <v>25309</v>
      </c>
      <c r="P217" s="548"/>
      <c r="Q217" s="542" t="s">
        <v>7</v>
      </c>
      <c r="R217" s="543">
        <v>24220</v>
      </c>
      <c r="S217" s="548"/>
      <c r="T217" s="546">
        <f>+V217-R217</f>
        <v>32</v>
      </c>
      <c r="U217" s="548"/>
      <c r="V217" s="822">
        <v>24252</v>
      </c>
      <c r="W217" s="818"/>
      <c r="X217" s="844">
        <f>+R217/E217-1</f>
        <v>-0.06069420205545861</v>
      </c>
      <c r="Y217" s="818"/>
      <c r="Z217" s="844">
        <f>+V217/K217-1</f>
        <v>-0.0582113315987729</v>
      </c>
      <c r="AA217" s="818"/>
      <c r="AB217" s="836">
        <f>+V217/O217-1</f>
        <v>-0.04176379943893471</v>
      </c>
      <c r="AC217" s="443"/>
    </row>
    <row r="218" spans="2:29" s="97" customFormat="1" ht="12.75">
      <c r="B218" s="399"/>
      <c r="C218" s="109"/>
      <c r="D218" s="679" t="s">
        <v>145</v>
      </c>
      <c r="E218" s="558">
        <v>16988</v>
      </c>
      <c r="F218" s="552"/>
      <c r="G218" s="552">
        <v>-11</v>
      </c>
      <c r="H218" s="552">
        <v>-23</v>
      </c>
      <c r="I218" s="559"/>
      <c r="J218" s="552"/>
      <c r="K218" s="560">
        <v>16954</v>
      </c>
      <c r="L218" s="552"/>
      <c r="M218" s="552">
        <v>442</v>
      </c>
      <c r="N218" s="552"/>
      <c r="O218" s="555">
        <v>16512</v>
      </c>
      <c r="P218" s="548"/>
      <c r="Q218" s="550" t="s">
        <v>145</v>
      </c>
      <c r="R218" s="551">
        <v>15727</v>
      </c>
      <c r="S218" s="548"/>
      <c r="T218" s="554">
        <f aca="true" t="shared" si="0" ref="T218:T226">+V218-R218</f>
        <v>-24</v>
      </c>
      <c r="U218" s="548"/>
      <c r="V218" s="823">
        <v>15703</v>
      </c>
      <c r="W218" s="818"/>
      <c r="X218" s="836">
        <f aca="true" t="shared" si="1" ref="X218:X226">+R218/E218-1</f>
        <v>-0.07422886743583701</v>
      </c>
      <c r="Y218" s="818"/>
      <c r="Z218" s="836">
        <f aca="true" t="shared" si="2" ref="Z218:Z226">+V218/K218-1</f>
        <v>-0.07378789666155483</v>
      </c>
      <c r="AA218" s="818"/>
      <c r="AB218" s="836">
        <f>+V218/O218-1</f>
        <v>-0.04899467054263562</v>
      </c>
      <c r="AC218" s="443"/>
    </row>
    <row r="219" spans="2:29" s="97" customFormat="1" ht="12.75">
      <c r="B219" s="399"/>
      <c r="C219" s="109"/>
      <c r="D219" s="679" t="s">
        <v>130</v>
      </c>
      <c r="E219" s="558">
        <v>10210</v>
      </c>
      <c r="F219" s="552"/>
      <c r="G219" s="552">
        <v>0</v>
      </c>
      <c r="H219" s="552">
        <v>0</v>
      </c>
      <c r="I219" s="559"/>
      <c r="J219" s="552"/>
      <c r="K219" s="560">
        <v>10210</v>
      </c>
      <c r="L219" s="552"/>
      <c r="M219" s="552"/>
      <c r="N219" s="552"/>
      <c r="O219" s="555">
        <v>10210</v>
      </c>
      <c r="P219" s="548"/>
      <c r="Q219" s="550" t="s">
        <v>130</v>
      </c>
      <c r="R219" s="551">
        <v>9922</v>
      </c>
      <c r="S219" s="548"/>
      <c r="T219" s="554">
        <f t="shared" si="0"/>
        <v>56</v>
      </c>
      <c r="U219" s="548"/>
      <c r="V219" s="823">
        <v>9978</v>
      </c>
      <c r="W219" s="818"/>
      <c r="X219" s="836">
        <f t="shared" si="1"/>
        <v>-0.028207639569049925</v>
      </c>
      <c r="Y219" s="818"/>
      <c r="Z219" s="836">
        <f t="shared" si="2"/>
        <v>-0.02272282076395693</v>
      </c>
      <c r="AA219" s="818"/>
      <c r="AB219" s="836"/>
      <c r="AC219" s="443"/>
    </row>
    <row r="220" spans="2:29" s="97" customFormat="1" ht="12.75">
      <c r="B220" s="399"/>
      <c r="C220" s="109"/>
      <c r="D220" s="619" t="s">
        <v>8</v>
      </c>
      <c r="E220" s="558">
        <v>915</v>
      </c>
      <c r="F220" s="552"/>
      <c r="G220" s="552">
        <v>384</v>
      </c>
      <c r="H220" s="552">
        <v>0</v>
      </c>
      <c r="I220" s="559"/>
      <c r="J220" s="552"/>
      <c r="K220" s="560">
        <v>1299</v>
      </c>
      <c r="L220" s="552"/>
      <c r="M220" s="552"/>
      <c r="N220" s="552"/>
      <c r="O220" s="555">
        <v>1299</v>
      </c>
      <c r="P220" s="548"/>
      <c r="Q220" s="557" t="s">
        <v>8</v>
      </c>
      <c r="R220" s="558">
        <v>1545</v>
      </c>
      <c r="S220" s="548"/>
      <c r="T220" s="560">
        <f t="shared" si="0"/>
        <v>0</v>
      </c>
      <c r="U220" s="548"/>
      <c r="V220" s="823">
        <f aca="true" t="shared" si="3" ref="V220:V225">+R220</f>
        <v>1545</v>
      </c>
      <c r="W220" s="818"/>
      <c r="X220" s="836">
        <f t="shared" si="1"/>
        <v>0.6885245901639345</v>
      </c>
      <c r="Y220" s="818"/>
      <c r="Z220" s="836">
        <f t="shared" si="2"/>
        <v>0.18937644341801385</v>
      </c>
      <c r="AA220" s="818"/>
      <c r="AB220" s="836"/>
      <c r="AC220" s="400"/>
    </row>
    <row r="221" spans="2:29" s="97" customFormat="1" ht="12.75">
      <c r="B221" s="399"/>
      <c r="C221" s="109"/>
      <c r="D221" s="619" t="s">
        <v>31</v>
      </c>
      <c r="E221" s="558">
        <v>3964</v>
      </c>
      <c r="F221" s="552"/>
      <c r="G221" s="552">
        <v>0</v>
      </c>
      <c r="H221" s="552">
        <v>127</v>
      </c>
      <c r="I221" s="559"/>
      <c r="J221" s="552"/>
      <c r="K221" s="560">
        <v>4091</v>
      </c>
      <c r="L221" s="552"/>
      <c r="M221" s="552"/>
      <c r="N221" s="552"/>
      <c r="O221" s="555">
        <v>4091</v>
      </c>
      <c r="P221" s="548"/>
      <c r="Q221" s="557" t="s">
        <v>31</v>
      </c>
      <c r="R221" s="558">
        <v>4990</v>
      </c>
      <c r="S221" s="548"/>
      <c r="T221" s="560">
        <f t="shared" si="0"/>
        <v>0</v>
      </c>
      <c r="U221" s="548"/>
      <c r="V221" s="823">
        <f t="shared" si="3"/>
        <v>4990</v>
      </c>
      <c r="W221" s="818"/>
      <c r="X221" s="836">
        <f t="shared" si="1"/>
        <v>0.25882946518668004</v>
      </c>
      <c r="Y221" s="818"/>
      <c r="Z221" s="836">
        <v>0.227</v>
      </c>
      <c r="AA221" s="818"/>
      <c r="AB221" s="836"/>
      <c r="AC221" s="400"/>
    </row>
    <row r="222" spans="2:29" s="97" customFormat="1" ht="12.75">
      <c r="B222" s="399"/>
      <c r="C222" s="109"/>
      <c r="D222" s="619" t="s">
        <v>89</v>
      </c>
      <c r="E222" s="558">
        <v>207</v>
      </c>
      <c r="F222" s="552"/>
      <c r="G222" s="552">
        <v>0</v>
      </c>
      <c r="H222" s="552">
        <v>0</v>
      </c>
      <c r="I222" s="559"/>
      <c r="J222" s="552"/>
      <c r="K222" s="560">
        <v>207</v>
      </c>
      <c r="L222" s="552"/>
      <c r="M222" s="552"/>
      <c r="N222" s="552"/>
      <c r="O222" s="555">
        <v>207</v>
      </c>
      <c r="P222" s="548"/>
      <c r="Q222" s="557" t="s">
        <v>89</v>
      </c>
      <c r="R222" s="558">
        <v>263</v>
      </c>
      <c r="S222" s="548"/>
      <c r="T222" s="560">
        <f t="shared" si="0"/>
        <v>0</v>
      </c>
      <c r="U222" s="548"/>
      <c r="V222" s="823">
        <f t="shared" si="3"/>
        <v>263</v>
      </c>
      <c r="W222" s="818"/>
      <c r="X222" s="836">
        <f t="shared" si="1"/>
        <v>0.27053140096618367</v>
      </c>
      <c r="Y222" s="818"/>
      <c r="Z222" s="836">
        <f t="shared" si="2"/>
        <v>0.27053140096618367</v>
      </c>
      <c r="AA222" s="818"/>
      <c r="AB222" s="836"/>
      <c r="AC222" s="400"/>
    </row>
    <row r="223" spans="2:29" s="97" customFormat="1" ht="12.75">
      <c r="B223" s="399"/>
      <c r="C223" s="109"/>
      <c r="D223" s="619" t="s">
        <v>9</v>
      </c>
      <c r="E223" s="558">
        <v>440</v>
      </c>
      <c r="F223" s="552"/>
      <c r="G223" s="552">
        <v>5</v>
      </c>
      <c r="H223" s="552">
        <v>-5</v>
      </c>
      <c r="I223" s="559"/>
      <c r="J223" s="552"/>
      <c r="K223" s="560">
        <v>440</v>
      </c>
      <c r="L223" s="552"/>
      <c r="M223" s="552"/>
      <c r="N223" s="552"/>
      <c r="O223" s="555">
        <v>440</v>
      </c>
      <c r="P223" s="548"/>
      <c r="Q223" s="557" t="s">
        <v>9</v>
      </c>
      <c r="R223" s="558">
        <v>408</v>
      </c>
      <c r="S223" s="548"/>
      <c r="T223" s="560">
        <f t="shared" si="0"/>
        <v>0</v>
      </c>
      <c r="U223" s="548"/>
      <c r="V223" s="823">
        <f t="shared" si="3"/>
        <v>408</v>
      </c>
      <c r="W223" s="818"/>
      <c r="X223" s="836">
        <f t="shared" si="1"/>
        <v>-0.07272727272727275</v>
      </c>
      <c r="Y223" s="818"/>
      <c r="Z223" s="836">
        <f t="shared" si="2"/>
        <v>-0.07272727272727275</v>
      </c>
      <c r="AA223" s="818"/>
      <c r="AB223" s="836"/>
      <c r="AC223" s="400"/>
    </row>
    <row r="224" spans="2:29" s="97" customFormat="1" ht="12.75">
      <c r="B224" s="399"/>
      <c r="C224" s="109"/>
      <c r="D224" s="619" t="s">
        <v>187</v>
      </c>
      <c r="E224" s="558">
        <v>234</v>
      </c>
      <c r="F224" s="552"/>
      <c r="G224" s="552">
        <v>0</v>
      </c>
      <c r="H224" s="552">
        <v>-17</v>
      </c>
      <c r="I224" s="559"/>
      <c r="J224" s="552"/>
      <c r="K224" s="560">
        <v>217</v>
      </c>
      <c r="L224" s="552"/>
      <c r="M224" s="552"/>
      <c r="N224" s="552"/>
      <c r="O224" s="555">
        <v>217</v>
      </c>
      <c r="P224" s="548"/>
      <c r="Q224" s="557" t="s">
        <v>187</v>
      </c>
      <c r="R224" s="558">
        <v>251</v>
      </c>
      <c r="S224" s="548"/>
      <c r="T224" s="560">
        <f t="shared" si="0"/>
        <v>0</v>
      </c>
      <c r="U224" s="548"/>
      <c r="V224" s="823">
        <f t="shared" si="3"/>
        <v>251</v>
      </c>
      <c r="W224" s="818"/>
      <c r="X224" s="836">
        <f t="shared" si="1"/>
        <v>0.07264957264957261</v>
      </c>
      <c r="Y224" s="818"/>
      <c r="Z224" s="836">
        <f t="shared" si="2"/>
        <v>0.15668202764976957</v>
      </c>
      <c r="AA224" s="818"/>
      <c r="AB224" s="836"/>
      <c r="AC224" s="400"/>
    </row>
    <row r="225" spans="2:29" s="97" customFormat="1" ht="12.75">
      <c r="B225" s="399"/>
      <c r="C225" s="109"/>
      <c r="D225" s="619" t="s">
        <v>188</v>
      </c>
      <c r="E225" s="561">
        <v>-270</v>
      </c>
      <c r="F225" s="552"/>
      <c r="G225" s="552">
        <v>-3</v>
      </c>
      <c r="H225" s="552">
        <v>0</v>
      </c>
      <c r="I225" s="559"/>
      <c r="J225" s="552"/>
      <c r="K225" s="560">
        <v>-273</v>
      </c>
      <c r="L225" s="552"/>
      <c r="M225" s="552"/>
      <c r="N225" s="552"/>
      <c r="O225" s="555">
        <v>-273</v>
      </c>
      <c r="P225" s="548"/>
      <c r="Q225" s="619" t="s">
        <v>188</v>
      </c>
      <c r="R225" s="561">
        <f>+R226-R217-R220-R221-R222-R223-R224</f>
        <v>-387</v>
      </c>
      <c r="S225" s="548"/>
      <c r="T225" s="560">
        <f t="shared" si="0"/>
        <v>0</v>
      </c>
      <c r="U225" s="548"/>
      <c r="V225" s="555">
        <f t="shared" si="3"/>
        <v>-387</v>
      </c>
      <c r="W225" s="818"/>
      <c r="X225" s="836"/>
      <c r="Y225" s="818"/>
      <c r="Z225" s="836"/>
      <c r="AA225" s="818"/>
      <c r="AB225" s="836"/>
      <c r="AC225" s="400"/>
    </row>
    <row r="226" spans="2:31" s="97" customFormat="1" ht="13.5" thickBot="1">
      <c r="B226" s="399"/>
      <c r="C226" s="109"/>
      <c r="D226" s="272" t="s">
        <v>10</v>
      </c>
      <c r="E226" s="273">
        <v>31275</v>
      </c>
      <c r="F226" s="562"/>
      <c r="G226" s="274">
        <v>375</v>
      </c>
      <c r="H226" s="275">
        <v>82</v>
      </c>
      <c r="I226" s="680"/>
      <c r="J226" s="552"/>
      <c r="K226" s="274">
        <v>31732</v>
      </c>
      <c r="L226" s="552"/>
      <c r="M226" s="275">
        <v>442</v>
      </c>
      <c r="N226" s="552"/>
      <c r="O226" s="276">
        <v>31290</v>
      </c>
      <c r="P226" s="548"/>
      <c r="Q226" s="272" t="s">
        <v>10</v>
      </c>
      <c r="R226" s="273">
        <v>31290</v>
      </c>
      <c r="S226" s="548"/>
      <c r="T226" s="275">
        <f t="shared" si="0"/>
        <v>32</v>
      </c>
      <c r="U226" s="548"/>
      <c r="V226" s="825">
        <v>31322</v>
      </c>
      <c r="W226" s="818"/>
      <c r="X226" s="277">
        <f t="shared" si="1"/>
        <v>0.0004796163069544779</v>
      </c>
      <c r="Y226" s="818"/>
      <c r="Z226" s="277">
        <f t="shared" si="2"/>
        <v>-0.012920710954241743</v>
      </c>
      <c r="AA226" s="818"/>
      <c r="AB226" s="278">
        <f>+V226/O226-1</f>
        <v>0.0010226909555768326</v>
      </c>
      <c r="AC226" s="400"/>
      <c r="AE226" s="88"/>
    </row>
    <row r="227" spans="2:29" ht="13.5" thickTop="1">
      <c r="B227" s="375"/>
      <c r="C227" s="103"/>
      <c r="D227" s="564"/>
      <c r="E227" s="565"/>
      <c r="F227" s="548"/>
      <c r="G227" s="566"/>
      <c r="H227" s="566"/>
      <c r="I227" s="567"/>
      <c r="J227" s="548"/>
      <c r="K227" s="566"/>
      <c r="L227" s="111"/>
      <c r="M227" s="111"/>
      <c r="N227" s="100"/>
      <c r="O227" s="568"/>
      <c r="P227" s="100"/>
      <c r="Q227" s="564"/>
      <c r="R227" s="565"/>
      <c r="S227" s="548"/>
      <c r="T227" s="566"/>
      <c r="U227" s="548"/>
      <c r="V227" s="826"/>
      <c r="W227" s="816"/>
      <c r="X227" s="837"/>
      <c r="Y227" s="816"/>
      <c r="Z227" s="837"/>
      <c r="AA227" s="816"/>
      <c r="AB227" s="816"/>
      <c r="AC227" s="374"/>
    </row>
    <row r="228" spans="2:29" ht="12.75">
      <c r="B228" s="185"/>
      <c r="C228" s="111"/>
      <c r="D228" s="258" t="s">
        <v>45</v>
      </c>
      <c r="E228" s="376"/>
      <c r="F228" s="234"/>
      <c r="G228" s="279"/>
      <c r="H228" s="279"/>
      <c r="I228" s="572"/>
      <c r="J228" s="234"/>
      <c r="K228" s="377"/>
      <c r="L228" s="234"/>
      <c r="M228" s="234"/>
      <c r="N228" s="234"/>
      <c r="O228" s="378"/>
      <c r="P228" s="234"/>
      <c r="Q228" s="258" t="s">
        <v>45</v>
      </c>
      <c r="R228" s="376"/>
      <c r="S228" s="234"/>
      <c r="T228" s="377"/>
      <c r="U228" s="234"/>
      <c r="V228" s="827"/>
      <c r="W228" s="817"/>
      <c r="X228" s="835"/>
      <c r="Y228" s="817"/>
      <c r="Z228" s="835"/>
      <c r="AA228" s="817"/>
      <c r="AB228" s="817"/>
      <c r="AC228" s="202"/>
    </row>
    <row r="229" spans="2:29" ht="12.75">
      <c r="B229" s="375"/>
      <c r="C229" s="103"/>
      <c r="D229" s="612" t="s">
        <v>7</v>
      </c>
      <c r="E229" s="676">
        <v>11893</v>
      </c>
      <c r="F229" s="573"/>
      <c r="G229" s="611">
        <v>-5</v>
      </c>
      <c r="H229" s="544">
        <v>-4</v>
      </c>
      <c r="I229" s="574">
        <v>195</v>
      </c>
      <c r="J229" s="548"/>
      <c r="K229" s="544">
        <v>12079</v>
      </c>
      <c r="L229" s="548"/>
      <c r="M229" s="548"/>
      <c r="N229" s="548"/>
      <c r="O229" s="575"/>
      <c r="P229" s="548"/>
      <c r="Q229" s="542" t="s">
        <v>7</v>
      </c>
      <c r="R229" s="543">
        <v>10174</v>
      </c>
      <c r="S229" s="548"/>
      <c r="T229" s="544">
        <f aca="true" t="shared" si="4" ref="T229:T236">+V229-R229</f>
        <v>765</v>
      </c>
      <c r="U229" s="548"/>
      <c r="V229" s="547">
        <v>10939</v>
      </c>
      <c r="W229" s="817"/>
      <c r="X229" s="850">
        <f aca="true" t="shared" si="5" ref="X229:X236">+R229/E229-1</f>
        <v>-0.1445388043386866</v>
      </c>
      <c r="Y229" s="817"/>
      <c r="Z229" s="850">
        <f aca="true" t="shared" si="6" ref="Z229:Z236">+V229/K229-1</f>
        <v>-0.09437867373126918</v>
      </c>
      <c r="AA229" s="817"/>
      <c r="AB229" s="817"/>
      <c r="AC229" s="373"/>
    </row>
    <row r="230" spans="2:29" ht="12.75">
      <c r="B230" s="375"/>
      <c r="C230" s="103"/>
      <c r="D230" s="619" t="s">
        <v>8</v>
      </c>
      <c r="E230" s="558">
        <v>81</v>
      </c>
      <c r="F230" s="548"/>
      <c r="G230" s="681">
        <v>51</v>
      </c>
      <c r="H230" s="552">
        <v>0</v>
      </c>
      <c r="I230" s="576">
        <v>0</v>
      </c>
      <c r="J230" s="548"/>
      <c r="K230" s="552">
        <v>132</v>
      </c>
      <c r="L230" s="548"/>
      <c r="M230" s="548"/>
      <c r="N230" s="548"/>
      <c r="O230" s="575"/>
      <c r="P230" s="548"/>
      <c r="Q230" s="557" t="s">
        <v>8</v>
      </c>
      <c r="R230" s="558">
        <v>246</v>
      </c>
      <c r="S230" s="548"/>
      <c r="T230" s="552">
        <f t="shared" si="4"/>
        <v>4</v>
      </c>
      <c r="U230" s="548"/>
      <c r="V230" s="555">
        <v>250</v>
      </c>
      <c r="W230" s="817"/>
      <c r="X230" s="838">
        <f t="shared" si="5"/>
        <v>2.037037037037037</v>
      </c>
      <c r="Y230" s="817"/>
      <c r="Z230" s="838">
        <f t="shared" si="6"/>
        <v>0.893939393939394</v>
      </c>
      <c r="AA230" s="817"/>
      <c r="AB230" s="817"/>
      <c r="AC230" s="373"/>
    </row>
    <row r="231" spans="2:29" ht="12.75">
      <c r="B231" s="375"/>
      <c r="C231" s="103"/>
      <c r="D231" s="619" t="s">
        <v>31</v>
      </c>
      <c r="E231" s="558">
        <v>950</v>
      </c>
      <c r="F231" s="548"/>
      <c r="G231" s="681">
        <v>0</v>
      </c>
      <c r="H231" s="552">
        <v>31</v>
      </c>
      <c r="I231" s="576">
        <v>4</v>
      </c>
      <c r="J231" s="548"/>
      <c r="K231" s="552">
        <v>985</v>
      </c>
      <c r="L231" s="548"/>
      <c r="M231" s="548"/>
      <c r="N231" s="548"/>
      <c r="O231" s="575"/>
      <c r="P231" s="548"/>
      <c r="Q231" s="557" t="s">
        <v>31</v>
      </c>
      <c r="R231" s="558">
        <v>1207</v>
      </c>
      <c r="S231" s="548"/>
      <c r="T231" s="552">
        <f t="shared" si="4"/>
        <v>0</v>
      </c>
      <c r="U231" s="548"/>
      <c r="V231" s="555">
        <v>1207</v>
      </c>
      <c r="W231" s="817"/>
      <c r="X231" s="838">
        <f t="shared" si="5"/>
        <v>0.2705263157894737</v>
      </c>
      <c r="Y231" s="817"/>
      <c r="Z231" s="838">
        <v>0.233</v>
      </c>
      <c r="AA231" s="817"/>
      <c r="AB231" s="817"/>
      <c r="AC231" s="373"/>
    </row>
    <row r="232" spans="2:29" ht="12.75">
      <c r="B232" s="375"/>
      <c r="C232" s="103"/>
      <c r="D232" s="619" t="s">
        <v>89</v>
      </c>
      <c r="E232" s="561">
        <v>-83</v>
      </c>
      <c r="F232" s="548"/>
      <c r="G232" s="681">
        <v>0</v>
      </c>
      <c r="H232" s="552">
        <v>0</v>
      </c>
      <c r="I232" s="576">
        <v>6</v>
      </c>
      <c r="J232" s="548"/>
      <c r="K232" s="552">
        <v>-77</v>
      </c>
      <c r="L232" s="379"/>
      <c r="M232" s="379"/>
      <c r="N232" s="379"/>
      <c r="O232" s="380"/>
      <c r="P232" s="379"/>
      <c r="Q232" s="557" t="s">
        <v>89</v>
      </c>
      <c r="R232" s="561">
        <v>-55</v>
      </c>
      <c r="S232" s="548"/>
      <c r="T232" s="552">
        <f t="shared" si="4"/>
        <v>2</v>
      </c>
      <c r="U232" s="548"/>
      <c r="V232" s="555">
        <v>-53</v>
      </c>
      <c r="W232" s="819"/>
      <c r="X232" s="838">
        <f>-(+R232/E232-1)</f>
        <v>0.3373493975903614</v>
      </c>
      <c r="Y232" s="819"/>
      <c r="Z232" s="838">
        <f>-(+V232/K232-1)</f>
        <v>0.3116883116883117</v>
      </c>
      <c r="AA232" s="819"/>
      <c r="AB232" s="819"/>
      <c r="AC232" s="373"/>
    </row>
    <row r="233" spans="2:29" ht="12.75">
      <c r="B233" s="375"/>
      <c r="C233" s="103"/>
      <c r="D233" s="619" t="s">
        <v>9</v>
      </c>
      <c r="E233" s="561">
        <v>-33</v>
      </c>
      <c r="F233" s="548"/>
      <c r="G233" s="597">
        <v>-2</v>
      </c>
      <c r="H233" s="552">
        <v>-5</v>
      </c>
      <c r="I233" s="576">
        <v>21</v>
      </c>
      <c r="J233" s="548"/>
      <c r="K233" s="552">
        <v>-19</v>
      </c>
      <c r="L233" s="548"/>
      <c r="M233" s="548"/>
      <c r="N233" s="548"/>
      <c r="O233" s="575"/>
      <c r="P233" s="548"/>
      <c r="Q233" s="557" t="s">
        <v>9</v>
      </c>
      <c r="R233" s="561">
        <v>-44</v>
      </c>
      <c r="S233" s="548"/>
      <c r="T233" s="552">
        <f t="shared" si="4"/>
        <v>25</v>
      </c>
      <c r="U233" s="548"/>
      <c r="V233" s="555">
        <v>-19</v>
      </c>
      <c r="W233" s="817"/>
      <c r="X233" s="838">
        <f>-(+R233/E233-1)</f>
        <v>-0.33333333333333326</v>
      </c>
      <c r="Y233" s="817"/>
      <c r="Z233" s="838">
        <f t="shared" si="6"/>
        <v>0</v>
      </c>
      <c r="AA233" s="817"/>
      <c r="AB233" s="817"/>
      <c r="AC233" s="373"/>
    </row>
    <row r="234" spans="2:29" ht="12.75">
      <c r="B234" s="375"/>
      <c r="C234" s="103"/>
      <c r="D234" s="619" t="s">
        <v>187</v>
      </c>
      <c r="E234" s="558">
        <v>49</v>
      </c>
      <c r="F234" s="548"/>
      <c r="G234" s="597">
        <v>0</v>
      </c>
      <c r="H234" s="552">
        <v>-8</v>
      </c>
      <c r="I234" s="576">
        <v>6</v>
      </c>
      <c r="J234" s="548"/>
      <c r="K234" s="552">
        <v>47</v>
      </c>
      <c r="L234" s="548"/>
      <c r="M234" s="548"/>
      <c r="N234" s="548"/>
      <c r="O234" s="575"/>
      <c r="P234" s="548"/>
      <c r="Q234" s="619" t="s">
        <v>187</v>
      </c>
      <c r="R234" s="558">
        <v>94</v>
      </c>
      <c r="S234" s="548"/>
      <c r="T234" s="552">
        <f t="shared" si="4"/>
        <v>0</v>
      </c>
      <c r="U234" s="548"/>
      <c r="V234" s="555">
        <v>94</v>
      </c>
      <c r="W234" s="817"/>
      <c r="X234" s="838">
        <f t="shared" si="5"/>
        <v>0.9183673469387754</v>
      </c>
      <c r="Y234" s="817"/>
      <c r="Z234" s="838">
        <f t="shared" si="6"/>
        <v>1</v>
      </c>
      <c r="AA234" s="817"/>
      <c r="AB234" s="817"/>
      <c r="AC234" s="373"/>
    </row>
    <row r="235" spans="2:29" ht="12.75">
      <c r="B235" s="375"/>
      <c r="C235" s="103"/>
      <c r="D235" s="619" t="s">
        <v>188</v>
      </c>
      <c r="E235" s="561">
        <v>-7</v>
      </c>
      <c r="F235" s="548"/>
      <c r="G235" s="597">
        <v>0</v>
      </c>
      <c r="H235" s="552">
        <v>0</v>
      </c>
      <c r="I235" s="576"/>
      <c r="J235" s="548"/>
      <c r="K235" s="552">
        <v>-7</v>
      </c>
      <c r="L235" s="548"/>
      <c r="M235" s="548"/>
      <c r="N235" s="548"/>
      <c r="O235" s="575"/>
      <c r="P235" s="548"/>
      <c r="Q235" s="619" t="s">
        <v>190</v>
      </c>
      <c r="R235" s="561">
        <f>+R236-R229-R230-R231-R232-R233-R234</f>
        <v>-5</v>
      </c>
      <c r="S235" s="548"/>
      <c r="T235" s="552">
        <f t="shared" si="4"/>
        <v>0</v>
      </c>
      <c r="U235" s="548"/>
      <c r="V235" s="555">
        <f>+V236-V229-V230-V231-V232-V233-V234</f>
        <v>-5</v>
      </c>
      <c r="W235" s="817"/>
      <c r="X235" s="838"/>
      <c r="Y235" s="817"/>
      <c r="Z235" s="838"/>
      <c r="AA235" s="817"/>
      <c r="AB235" s="817"/>
      <c r="AC235" s="373"/>
    </row>
    <row r="236" spans="2:29" ht="12.75">
      <c r="B236" s="375"/>
      <c r="C236" s="103"/>
      <c r="D236" s="272" t="s">
        <v>10</v>
      </c>
      <c r="E236" s="273">
        <v>12850</v>
      </c>
      <c r="F236" s="579"/>
      <c r="G236" s="680">
        <v>44</v>
      </c>
      <c r="H236" s="275">
        <v>14</v>
      </c>
      <c r="I236" s="663">
        <v>232</v>
      </c>
      <c r="J236" s="548"/>
      <c r="K236" s="275">
        <v>13140</v>
      </c>
      <c r="L236" s="548"/>
      <c r="M236" s="548"/>
      <c r="N236" s="548"/>
      <c r="O236" s="548"/>
      <c r="P236" s="582"/>
      <c r="Q236" s="272" t="s">
        <v>10</v>
      </c>
      <c r="R236" s="273">
        <v>11617</v>
      </c>
      <c r="S236" s="548"/>
      <c r="T236" s="275">
        <f t="shared" si="4"/>
        <v>796</v>
      </c>
      <c r="U236" s="548"/>
      <c r="V236" s="276">
        <v>12413</v>
      </c>
      <c r="W236" s="817"/>
      <c r="X236" s="845">
        <f t="shared" si="5"/>
        <v>-0.09595330739299612</v>
      </c>
      <c r="Y236" s="817"/>
      <c r="Z236" s="845">
        <f t="shared" si="6"/>
        <v>-0.05532724505327247</v>
      </c>
      <c r="AA236" s="817"/>
      <c r="AB236" s="817"/>
      <c r="AC236" s="374"/>
    </row>
    <row r="237" spans="2:29" ht="12.75">
      <c r="B237" s="375"/>
      <c r="C237" s="382"/>
      <c r="D237" s="581"/>
      <c r="E237" s="561"/>
      <c r="F237" s="548"/>
      <c r="G237" s="577"/>
      <c r="H237" s="577"/>
      <c r="I237" s="576"/>
      <c r="J237" s="548"/>
      <c r="K237" s="552"/>
      <c r="L237" s="548"/>
      <c r="M237" s="548"/>
      <c r="N237" s="548"/>
      <c r="O237" s="548"/>
      <c r="P237" s="582"/>
      <c r="Q237" s="581"/>
      <c r="R237" s="561"/>
      <c r="S237" s="573"/>
      <c r="T237" s="552"/>
      <c r="U237" s="573"/>
      <c r="V237" s="555"/>
      <c r="W237" s="817"/>
      <c r="X237" s="835"/>
      <c r="Y237" s="817"/>
      <c r="Z237" s="835"/>
      <c r="AA237" s="817"/>
      <c r="AB237" s="817"/>
      <c r="AC237" s="374"/>
    </row>
    <row r="238" spans="2:29" ht="12.75">
      <c r="B238" s="375"/>
      <c r="C238" s="103"/>
      <c r="D238" s="258" t="s">
        <v>67</v>
      </c>
      <c r="E238" s="583"/>
      <c r="F238" s="548"/>
      <c r="G238" s="577"/>
      <c r="H238" s="577"/>
      <c r="I238" s="576"/>
      <c r="J238" s="548"/>
      <c r="K238" s="552"/>
      <c r="L238" s="548"/>
      <c r="M238" s="548"/>
      <c r="N238" s="548"/>
      <c r="O238" s="548"/>
      <c r="P238" s="582"/>
      <c r="Q238" s="258" t="s">
        <v>67</v>
      </c>
      <c r="R238" s="583"/>
      <c r="S238" s="548"/>
      <c r="T238" s="552"/>
      <c r="U238" s="548"/>
      <c r="V238" s="555"/>
      <c r="W238" s="817"/>
      <c r="X238" s="835"/>
      <c r="Y238" s="817"/>
      <c r="Z238" s="835"/>
      <c r="AA238" s="817"/>
      <c r="AB238" s="817"/>
      <c r="AC238" s="374"/>
    </row>
    <row r="239" spans="2:29" ht="12.75">
      <c r="B239" s="375"/>
      <c r="C239" s="103"/>
      <c r="D239" s="612" t="s">
        <v>7</v>
      </c>
      <c r="E239" s="613">
        <v>0.46123715338375026</v>
      </c>
      <c r="F239" s="573"/>
      <c r="G239" s="585"/>
      <c r="H239" s="585"/>
      <c r="I239" s="574"/>
      <c r="J239" s="548"/>
      <c r="K239" s="614">
        <v>0.4690691623626267</v>
      </c>
      <c r="L239" s="548"/>
      <c r="M239" s="548"/>
      <c r="N239" s="548"/>
      <c r="O239" s="575"/>
      <c r="P239" s="548"/>
      <c r="Q239" s="542" t="s">
        <v>7</v>
      </c>
      <c r="R239" s="584">
        <f>+R229/R$217</f>
        <v>0.42006606110652356</v>
      </c>
      <c r="S239" s="548"/>
      <c r="T239" s="544"/>
      <c r="U239" s="548"/>
      <c r="V239" s="828">
        <f>+V229/V$217</f>
        <v>0.45105558304469734</v>
      </c>
      <c r="W239" s="817"/>
      <c r="X239" s="849">
        <f aca="true" t="shared" si="7" ref="X239:X244">+(R239-E239)*100</f>
        <v>-4.11710922772267</v>
      </c>
      <c r="Y239" s="817"/>
      <c r="Z239" s="849">
        <f aca="true" t="shared" si="8" ref="Z239:Z244">+(V239-K239)*100</f>
        <v>-1.8013579317929351</v>
      </c>
      <c r="AA239" s="817"/>
      <c r="AB239" s="817"/>
      <c r="AC239" s="374"/>
    </row>
    <row r="240" spans="2:29" ht="12.75">
      <c r="B240" s="375"/>
      <c r="C240" s="103"/>
      <c r="D240" s="619" t="s">
        <v>8</v>
      </c>
      <c r="E240" s="682">
        <v>0.08852459016393442</v>
      </c>
      <c r="F240" s="548"/>
      <c r="G240" s="577"/>
      <c r="H240" s="577"/>
      <c r="I240" s="576"/>
      <c r="J240" s="548"/>
      <c r="K240" s="685">
        <v>0.10161662817551963</v>
      </c>
      <c r="L240" s="548"/>
      <c r="M240" s="548"/>
      <c r="N240" s="548"/>
      <c r="O240" s="575"/>
      <c r="P240" s="548"/>
      <c r="Q240" s="557" t="s">
        <v>8</v>
      </c>
      <c r="R240" s="588">
        <f>+R230/R$220</f>
        <v>0.15922330097087378</v>
      </c>
      <c r="S240" s="548"/>
      <c r="T240" s="552"/>
      <c r="U240" s="548"/>
      <c r="V240" s="829">
        <f>+V230/V$220</f>
        <v>0.16181229773462782</v>
      </c>
      <c r="W240" s="817"/>
      <c r="X240" s="839">
        <f t="shared" si="7"/>
        <v>7.069871080693936</v>
      </c>
      <c r="Y240" s="817"/>
      <c r="Z240" s="839">
        <f t="shared" si="8"/>
        <v>6.01956695591082</v>
      </c>
      <c r="AA240" s="817"/>
      <c r="AB240" s="817"/>
      <c r="AC240" s="374"/>
    </row>
    <row r="241" spans="2:29" ht="12.75">
      <c r="B241" s="375"/>
      <c r="C241" s="103"/>
      <c r="D241" s="619" t="s">
        <v>31</v>
      </c>
      <c r="E241" s="682">
        <v>0.239656912209889</v>
      </c>
      <c r="F241" s="379"/>
      <c r="G241" s="280"/>
      <c r="H241" s="280"/>
      <c r="I241" s="591"/>
      <c r="J241" s="379"/>
      <c r="K241" s="685">
        <v>0.2407724272793938</v>
      </c>
      <c r="L241" s="379"/>
      <c r="M241" s="379"/>
      <c r="N241" s="379"/>
      <c r="O241" s="380"/>
      <c r="P241" s="379"/>
      <c r="Q241" s="557" t="s">
        <v>31</v>
      </c>
      <c r="R241" s="588">
        <f>+R231/R$221</f>
        <v>0.24188376753507013</v>
      </c>
      <c r="S241" s="379"/>
      <c r="T241" s="383"/>
      <c r="U241" s="379"/>
      <c r="V241" s="829">
        <f>+V231/V$221</f>
        <v>0.24188376753507013</v>
      </c>
      <c r="W241" s="819"/>
      <c r="X241" s="839">
        <f t="shared" si="7"/>
        <v>0.22268553251811318</v>
      </c>
      <c r="Y241" s="819"/>
      <c r="Z241" s="839">
        <f t="shared" si="8"/>
        <v>0.11113402556763297</v>
      </c>
      <c r="AA241" s="819"/>
      <c r="AB241" s="819"/>
      <c r="AC241" s="374"/>
    </row>
    <row r="242" spans="2:29" ht="12.75">
      <c r="B242" s="375"/>
      <c r="C242" s="103"/>
      <c r="D242" s="619" t="s">
        <v>89</v>
      </c>
      <c r="E242" s="682">
        <v>-0.40096618357487923</v>
      </c>
      <c r="F242" s="379"/>
      <c r="G242" s="280"/>
      <c r="H242" s="280"/>
      <c r="I242" s="591"/>
      <c r="J242" s="379"/>
      <c r="K242" s="685">
        <v>-0.3719806763285024</v>
      </c>
      <c r="L242" s="379"/>
      <c r="M242" s="379"/>
      <c r="N242" s="379"/>
      <c r="O242" s="380"/>
      <c r="P242" s="379"/>
      <c r="Q242" s="557" t="s">
        <v>89</v>
      </c>
      <c r="R242" s="588">
        <f>+R232/R$222</f>
        <v>-0.20912547528517111</v>
      </c>
      <c r="S242" s="379"/>
      <c r="T242" s="383"/>
      <c r="U242" s="379"/>
      <c r="V242" s="829">
        <f>+V232/V$222</f>
        <v>-0.20152091254752852</v>
      </c>
      <c r="W242" s="819"/>
      <c r="X242" s="839">
        <f t="shared" si="7"/>
        <v>19.18407082897081</v>
      </c>
      <c r="Y242" s="819"/>
      <c r="Z242" s="839">
        <f t="shared" si="8"/>
        <v>17.04597637809739</v>
      </c>
      <c r="AA242" s="819"/>
      <c r="AB242" s="819"/>
      <c r="AC242" s="374"/>
    </row>
    <row r="243" spans="2:29" ht="12.75">
      <c r="B243" s="375"/>
      <c r="C243" s="103"/>
      <c r="D243" s="619" t="s">
        <v>9</v>
      </c>
      <c r="E243" s="682">
        <v>-0.075</v>
      </c>
      <c r="F243" s="379"/>
      <c r="G243" s="280"/>
      <c r="H243" s="280"/>
      <c r="I243" s="591"/>
      <c r="J243" s="379"/>
      <c r="K243" s="685">
        <v>-0.04318181818181818</v>
      </c>
      <c r="L243" s="379"/>
      <c r="M243" s="379"/>
      <c r="N243" s="379"/>
      <c r="O243" s="380"/>
      <c r="P243" s="379"/>
      <c r="Q243" s="557" t="s">
        <v>9</v>
      </c>
      <c r="R243" s="588">
        <f>+R233/R$223</f>
        <v>-0.10784313725490197</v>
      </c>
      <c r="S243" s="379"/>
      <c r="T243" s="383"/>
      <c r="U243" s="379"/>
      <c r="V243" s="829">
        <f>+V233/V$223</f>
        <v>-0.04656862745098039</v>
      </c>
      <c r="W243" s="819"/>
      <c r="X243" s="839">
        <f t="shared" si="7"/>
        <v>-3.284313725490197</v>
      </c>
      <c r="Y243" s="819"/>
      <c r="Z243" s="839">
        <f t="shared" si="8"/>
        <v>-0.3386809269162211</v>
      </c>
      <c r="AA243" s="819"/>
      <c r="AB243" s="819"/>
      <c r="AC243" s="374"/>
    </row>
    <row r="244" spans="2:29" ht="12.75">
      <c r="B244" s="185"/>
      <c r="C244" s="111"/>
      <c r="D244" s="272" t="s">
        <v>10</v>
      </c>
      <c r="E244" s="683">
        <v>0.4108713029576339</v>
      </c>
      <c r="F244" s="592"/>
      <c r="G244" s="593"/>
      <c r="H244" s="593"/>
      <c r="I244" s="594"/>
      <c r="J244" s="100"/>
      <c r="K244" s="686">
        <v>0.4140930291188705</v>
      </c>
      <c r="L244" s="100"/>
      <c r="M244" s="100"/>
      <c r="N244" s="100"/>
      <c r="O244" s="595"/>
      <c r="P244" s="100"/>
      <c r="Q244" s="272" t="s">
        <v>10</v>
      </c>
      <c r="R244" s="281">
        <f>+R236/R$226</f>
        <v>0.37126877596676255</v>
      </c>
      <c r="S244" s="100"/>
      <c r="T244" s="593"/>
      <c r="U244" s="100"/>
      <c r="V244" s="830">
        <f>+V236/V$226</f>
        <v>0.39630291807675116</v>
      </c>
      <c r="W244" s="816"/>
      <c r="X244" s="866">
        <f t="shared" si="7"/>
        <v>-3.9602526990871354</v>
      </c>
      <c r="Y244" s="816"/>
      <c r="Z244" s="866">
        <f t="shared" si="8"/>
        <v>-1.779011104211936</v>
      </c>
      <c r="AA244" s="816"/>
      <c r="AB244" s="816"/>
      <c r="AC244" s="202"/>
    </row>
    <row r="245" spans="2:29" ht="12.75">
      <c r="B245" s="185"/>
      <c r="C245" s="111"/>
      <c r="D245" s="283"/>
      <c r="E245" s="284"/>
      <c r="F245" s="100"/>
      <c r="G245" s="597"/>
      <c r="H245" s="597"/>
      <c r="I245" s="598"/>
      <c r="J245" s="100"/>
      <c r="K245" s="597"/>
      <c r="L245" s="100"/>
      <c r="M245" s="100"/>
      <c r="N245" s="100"/>
      <c r="O245" s="595"/>
      <c r="P245" s="100"/>
      <c r="Q245" s="283"/>
      <c r="R245" s="284"/>
      <c r="S245" s="100"/>
      <c r="T245" s="597"/>
      <c r="U245" s="100"/>
      <c r="V245" s="831"/>
      <c r="W245" s="816"/>
      <c r="X245" s="837"/>
      <c r="Y245" s="816"/>
      <c r="Z245" s="837"/>
      <c r="AA245" s="816"/>
      <c r="AB245" s="816"/>
      <c r="AC245" s="202"/>
    </row>
    <row r="246" spans="2:29" ht="12.75">
      <c r="B246" s="185"/>
      <c r="C246" s="111"/>
      <c r="D246" s="258" t="s">
        <v>47</v>
      </c>
      <c r="E246" s="376"/>
      <c r="F246" s="234"/>
      <c r="G246" s="279"/>
      <c r="H246" s="279"/>
      <c r="I246" s="572"/>
      <c r="J246" s="234"/>
      <c r="K246" s="377"/>
      <c r="L246" s="234"/>
      <c r="M246" s="234"/>
      <c r="N246" s="234"/>
      <c r="O246" s="378"/>
      <c r="P246" s="234"/>
      <c r="Q246" s="258" t="s">
        <v>47</v>
      </c>
      <c r="R246" s="376"/>
      <c r="S246" s="234"/>
      <c r="T246" s="377"/>
      <c r="U246" s="234"/>
      <c r="V246" s="827"/>
      <c r="W246" s="817"/>
      <c r="X246" s="835"/>
      <c r="Y246" s="817"/>
      <c r="Z246" s="835"/>
      <c r="AA246" s="817"/>
      <c r="AB246" s="817"/>
      <c r="AC246" s="202"/>
    </row>
    <row r="247" spans="2:29" ht="12.75">
      <c r="B247" s="375"/>
      <c r="C247" s="103"/>
      <c r="D247" s="612" t="s">
        <v>7</v>
      </c>
      <c r="E247" s="600">
        <v>7676</v>
      </c>
      <c r="F247" s="573"/>
      <c r="G247" s="611">
        <v>-5</v>
      </c>
      <c r="H247" s="544">
        <v>-1</v>
      </c>
      <c r="I247" s="574">
        <v>85</v>
      </c>
      <c r="J247" s="548"/>
      <c r="K247" s="544">
        <v>7755</v>
      </c>
      <c r="L247" s="548"/>
      <c r="M247" s="548"/>
      <c r="N247" s="548"/>
      <c r="O247" s="575"/>
      <c r="P247" s="548"/>
      <c r="Q247" s="542" t="s">
        <v>7</v>
      </c>
      <c r="R247" s="600">
        <v>5751</v>
      </c>
      <c r="S247" s="548"/>
      <c r="T247" s="544">
        <f aca="true" t="shared" si="9" ref="T247:T254">+V247-R247</f>
        <v>751</v>
      </c>
      <c r="U247" s="548"/>
      <c r="V247" s="547">
        <v>6502</v>
      </c>
      <c r="W247" s="817"/>
      <c r="X247" s="850">
        <f aca="true" t="shared" si="10" ref="X247:X254">+R247/E247-1</f>
        <v>-0.25078165711307976</v>
      </c>
      <c r="Y247" s="817"/>
      <c r="Z247" s="850">
        <f>+V247/K247-1</f>
        <v>-0.1615731785944552</v>
      </c>
      <c r="AA247" s="817"/>
      <c r="AB247" s="817"/>
      <c r="AC247" s="373"/>
    </row>
    <row r="248" spans="2:29" ht="12.75">
      <c r="B248" s="375"/>
      <c r="C248" s="103"/>
      <c r="D248" s="619" t="s">
        <v>8</v>
      </c>
      <c r="E248" s="561">
        <v>-125</v>
      </c>
      <c r="F248" s="548"/>
      <c r="G248" s="552">
        <v>43</v>
      </c>
      <c r="H248" s="552">
        <v>0</v>
      </c>
      <c r="I248" s="576">
        <v>0</v>
      </c>
      <c r="J248" s="548"/>
      <c r="K248" s="552">
        <v>-82</v>
      </c>
      <c r="L248" s="548"/>
      <c r="M248" s="548"/>
      <c r="N248" s="548"/>
      <c r="O248" s="575"/>
      <c r="P248" s="548"/>
      <c r="Q248" s="557" t="s">
        <v>8</v>
      </c>
      <c r="R248" s="561">
        <v>-69</v>
      </c>
      <c r="S248" s="548"/>
      <c r="T248" s="552">
        <f t="shared" si="9"/>
        <v>4</v>
      </c>
      <c r="U248" s="548"/>
      <c r="V248" s="555">
        <v>-65</v>
      </c>
      <c r="W248" s="817"/>
      <c r="X248" s="836">
        <f>-(+R248/E248-1)</f>
        <v>0.44799999999999995</v>
      </c>
      <c r="Y248" s="817"/>
      <c r="Z248" s="838">
        <f>-(+V248/K248-1)</f>
        <v>0.20731707317073167</v>
      </c>
      <c r="AA248" s="817"/>
      <c r="AB248" s="817"/>
      <c r="AC248" s="373"/>
    </row>
    <row r="249" spans="2:29" ht="12.75">
      <c r="B249" s="375"/>
      <c r="C249" s="103"/>
      <c r="D249" s="619" t="s">
        <v>31</v>
      </c>
      <c r="E249" s="561">
        <v>21</v>
      </c>
      <c r="F249" s="548"/>
      <c r="G249" s="597">
        <v>0</v>
      </c>
      <c r="H249" s="552">
        <v>4</v>
      </c>
      <c r="I249" s="576">
        <v>4</v>
      </c>
      <c r="J249" s="548"/>
      <c r="K249" s="552">
        <v>29</v>
      </c>
      <c r="L249" s="548"/>
      <c r="M249" s="548"/>
      <c r="N249" s="548"/>
      <c r="O249" s="575"/>
      <c r="P249" s="548"/>
      <c r="Q249" s="557" t="s">
        <v>31</v>
      </c>
      <c r="R249" s="561">
        <v>150</v>
      </c>
      <c r="S249" s="548"/>
      <c r="T249" s="552">
        <f t="shared" si="9"/>
        <v>0</v>
      </c>
      <c r="U249" s="548"/>
      <c r="V249" s="555">
        <v>150</v>
      </c>
      <c r="W249" s="817"/>
      <c r="X249" s="838">
        <f t="shared" si="10"/>
        <v>6.142857142857143</v>
      </c>
      <c r="Y249" s="817"/>
      <c r="Z249" s="838">
        <v>4.783</v>
      </c>
      <c r="AA249" s="817"/>
      <c r="AB249" s="817"/>
      <c r="AC249" s="373"/>
    </row>
    <row r="250" spans="2:29" ht="12.75">
      <c r="B250" s="375"/>
      <c r="C250" s="103"/>
      <c r="D250" s="619" t="s">
        <v>89</v>
      </c>
      <c r="E250" s="561">
        <v>-137</v>
      </c>
      <c r="F250" s="548"/>
      <c r="G250" s="597">
        <v>0</v>
      </c>
      <c r="H250" s="552">
        <v>0</v>
      </c>
      <c r="I250" s="576">
        <v>5</v>
      </c>
      <c r="J250" s="548"/>
      <c r="K250" s="552">
        <v>-132</v>
      </c>
      <c r="L250" s="379"/>
      <c r="M250" s="379"/>
      <c r="N250" s="379"/>
      <c r="O250" s="380"/>
      <c r="P250" s="379"/>
      <c r="Q250" s="557" t="s">
        <v>89</v>
      </c>
      <c r="R250" s="561">
        <v>-117</v>
      </c>
      <c r="S250" s="548"/>
      <c r="T250" s="552">
        <f t="shared" si="9"/>
        <v>2</v>
      </c>
      <c r="U250" s="548"/>
      <c r="V250" s="555">
        <v>-115</v>
      </c>
      <c r="W250" s="819"/>
      <c r="X250" s="838">
        <f>-(+R250/E250-1)</f>
        <v>0.14598540145985406</v>
      </c>
      <c r="Y250" s="819"/>
      <c r="Z250" s="838">
        <f>-(+V250/K250-1)</f>
        <v>0.12878787878787878</v>
      </c>
      <c r="AA250" s="819"/>
      <c r="AB250" s="819"/>
      <c r="AC250" s="373"/>
    </row>
    <row r="251" spans="2:29" ht="12.75">
      <c r="B251" s="375"/>
      <c r="C251" s="103"/>
      <c r="D251" s="619" t="s">
        <v>9</v>
      </c>
      <c r="E251" s="561">
        <v>-50</v>
      </c>
      <c r="F251" s="548"/>
      <c r="G251" s="597">
        <v>-2</v>
      </c>
      <c r="H251" s="552">
        <v>-5</v>
      </c>
      <c r="I251" s="576">
        <v>19</v>
      </c>
      <c r="J251" s="548"/>
      <c r="K251" s="552">
        <v>-38</v>
      </c>
      <c r="L251" s="548"/>
      <c r="M251" s="548"/>
      <c r="N251" s="548"/>
      <c r="O251" s="575"/>
      <c r="P251" s="548"/>
      <c r="Q251" s="557" t="s">
        <v>9</v>
      </c>
      <c r="R251" s="561">
        <v>-66</v>
      </c>
      <c r="S251" s="548"/>
      <c r="T251" s="552">
        <f t="shared" si="9"/>
        <v>32</v>
      </c>
      <c r="U251" s="548"/>
      <c r="V251" s="555">
        <v>-34</v>
      </c>
      <c r="W251" s="817"/>
      <c r="X251" s="838">
        <f>-(+R251/E251-1)</f>
        <v>-0.32000000000000006</v>
      </c>
      <c r="Y251" s="817"/>
      <c r="Z251" s="838">
        <f>-(+V251/K251-1)</f>
        <v>0.10526315789473684</v>
      </c>
      <c r="AA251" s="817"/>
      <c r="AB251" s="817"/>
      <c r="AC251" s="373"/>
    </row>
    <row r="252" spans="2:29" ht="12.75">
      <c r="B252" s="375"/>
      <c r="C252" s="103"/>
      <c r="D252" s="619" t="s">
        <v>187</v>
      </c>
      <c r="E252" s="561">
        <v>37</v>
      </c>
      <c r="F252" s="548"/>
      <c r="G252" s="597">
        <v>0</v>
      </c>
      <c r="H252" s="552">
        <v>-5</v>
      </c>
      <c r="I252" s="576">
        <v>-21</v>
      </c>
      <c r="J252" s="548"/>
      <c r="K252" s="552">
        <v>11</v>
      </c>
      <c r="L252" s="548"/>
      <c r="M252" s="548"/>
      <c r="N252" s="548"/>
      <c r="O252" s="575"/>
      <c r="P252" s="548"/>
      <c r="Q252" s="557" t="s">
        <v>187</v>
      </c>
      <c r="R252" s="561">
        <v>63</v>
      </c>
      <c r="S252" s="548"/>
      <c r="T252" s="552">
        <f t="shared" si="9"/>
        <v>0</v>
      </c>
      <c r="U252" s="548"/>
      <c r="V252" s="555">
        <v>63</v>
      </c>
      <c r="W252" s="817"/>
      <c r="X252" s="838">
        <f t="shared" si="10"/>
        <v>0.7027027027027026</v>
      </c>
      <c r="Y252" s="817"/>
      <c r="Z252" s="838">
        <f>+V252/K252-1</f>
        <v>4.7272727272727275</v>
      </c>
      <c r="AA252" s="817"/>
      <c r="AB252" s="817"/>
      <c r="AC252" s="373"/>
    </row>
    <row r="253" spans="2:29" ht="12.75">
      <c r="B253" s="375"/>
      <c r="C253" s="103"/>
      <c r="D253" s="619" t="s">
        <v>188</v>
      </c>
      <c r="E253" s="561">
        <v>15</v>
      </c>
      <c r="F253" s="548"/>
      <c r="G253" s="597">
        <v>0</v>
      </c>
      <c r="H253" s="552">
        <v>0</v>
      </c>
      <c r="I253" s="576">
        <v>35</v>
      </c>
      <c r="J253" s="548"/>
      <c r="K253" s="552">
        <v>50</v>
      </c>
      <c r="L253" s="548"/>
      <c r="M253" s="548"/>
      <c r="N253" s="548"/>
      <c r="O253" s="575"/>
      <c r="P253" s="548"/>
      <c r="Q253" s="619" t="s">
        <v>188</v>
      </c>
      <c r="R253" s="561">
        <f>+R254-R247-R248-R249-R250-R251-R252</f>
        <v>52</v>
      </c>
      <c r="S253" s="548"/>
      <c r="T253" s="552">
        <f t="shared" si="9"/>
        <v>-2</v>
      </c>
      <c r="U253" s="548"/>
      <c r="V253" s="555">
        <f>+V254-V247-V248-V249-V250-V251-V252</f>
        <v>50</v>
      </c>
      <c r="W253" s="817"/>
      <c r="X253" s="838"/>
      <c r="Y253" s="817"/>
      <c r="Z253" s="838"/>
      <c r="AA253" s="817"/>
      <c r="AB253" s="817"/>
      <c r="AC253" s="373"/>
    </row>
    <row r="254" spans="2:29" ht="12.75">
      <c r="B254" s="375"/>
      <c r="C254" s="103"/>
      <c r="D254" s="272" t="s">
        <v>10</v>
      </c>
      <c r="E254" s="384">
        <v>7437</v>
      </c>
      <c r="F254" s="579"/>
      <c r="G254" s="274">
        <v>36</v>
      </c>
      <c r="H254" s="275">
        <v>-7</v>
      </c>
      <c r="I254" s="663">
        <v>127</v>
      </c>
      <c r="J254" s="548"/>
      <c r="K254" s="275">
        <v>7593</v>
      </c>
      <c r="L254" s="548"/>
      <c r="M254" s="548"/>
      <c r="N254" s="548"/>
      <c r="O254" s="575"/>
      <c r="P254" s="548"/>
      <c r="Q254" s="272" t="s">
        <v>10</v>
      </c>
      <c r="R254" s="384">
        <v>5764</v>
      </c>
      <c r="S254" s="548"/>
      <c r="T254" s="275">
        <f t="shared" si="9"/>
        <v>787</v>
      </c>
      <c r="U254" s="548"/>
      <c r="V254" s="276">
        <v>6551</v>
      </c>
      <c r="W254" s="817"/>
      <c r="X254" s="845">
        <f t="shared" si="10"/>
        <v>-0.2249562995831652</v>
      </c>
      <c r="Y254" s="817"/>
      <c r="Z254" s="845">
        <f>+V254/K254-1</f>
        <v>-0.13723166074015536</v>
      </c>
      <c r="AA254" s="817"/>
      <c r="AB254" s="817"/>
      <c r="AC254" s="374"/>
    </row>
    <row r="255" spans="2:29" ht="12.75">
      <c r="B255" s="375"/>
      <c r="C255" s="103"/>
      <c r="D255" s="581"/>
      <c r="E255" s="561"/>
      <c r="F255" s="548"/>
      <c r="G255" s="577"/>
      <c r="H255" s="577"/>
      <c r="I255" s="576"/>
      <c r="J255" s="548"/>
      <c r="K255" s="552"/>
      <c r="L255" s="548"/>
      <c r="M255" s="548"/>
      <c r="N255" s="548"/>
      <c r="O255" s="575"/>
      <c r="P255" s="548"/>
      <c r="Q255" s="581"/>
      <c r="R255" s="561"/>
      <c r="S255" s="548"/>
      <c r="T255" s="552"/>
      <c r="U255" s="548"/>
      <c r="V255" s="547"/>
      <c r="W255" s="817"/>
      <c r="X255" s="835"/>
      <c r="Y255" s="817"/>
      <c r="Z255" s="835"/>
      <c r="AA255" s="817"/>
      <c r="AB255" s="817"/>
      <c r="AC255" s="374"/>
    </row>
    <row r="256" spans="2:29" ht="12.75">
      <c r="B256" s="375"/>
      <c r="C256" s="103"/>
      <c r="D256" s="684" t="s">
        <v>69</v>
      </c>
      <c r="E256" s="583"/>
      <c r="F256" s="548"/>
      <c r="G256" s="577"/>
      <c r="H256" s="577"/>
      <c r="I256" s="576"/>
      <c r="J256" s="548"/>
      <c r="K256" s="552"/>
      <c r="L256" s="548"/>
      <c r="M256" s="548"/>
      <c r="N256" s="548"/>
      <c r="O256" s="575"/>
      <c r="P256" s="548"/>
      <c r="Q256" s="258" t="s">
        <v>69</v>
      </c>
      <c r="R256" s="583"/>
      <c r="S256" s="548"/>
      <c r="T256" s="552"/>
      <c r="U256" s="548"/>
      <c r="V256" s="555"/>
      <c r="W256" s="817"/>
      <c r="X256" s="835"/>
      <c r="Y256" s="817"/>
      <c r="Z256" s="835"/>
      <c r="AA256" s="817"/>
      <c r="AB256" s="817"/>
      <c r="AC256" s="374"/>
    </row>
    <row r="257" spans="2:29" ht="12.75">
      <c r="B257" s="399"/>
      <c r="C257" s="109"/>
      <c r="D257" s="612" t="s">
        <v>7</v>
      </c>
      <c r="E257" s="613">
        <v>0.29769245685476053</v>
      </c>
      <c r="F257" s="573"/>
      <c r="G257" s="585"/>
      <c r="H257" s="585"/>
      <c r="I257" s="574"/>
      <c r="J257" s="548"/>
      <c r="K257" s="614">
        <v>0.30115335326783427</v>
      </c>
      <c r="L257" s="548"/>
      <c r="M257" s="548"/>
      <c r="N257" s="548"/>
      <c r="O257" s="575"/>
      <c r="P257" s="548"/>
      <c r="Q257" s="612" t="s">
        <v>7</v>
      </c>
      <c r="R257" s="584">
        <f>+R247/R$217</f>
        <v>0.23744838976052848</v>
      </c>
      <c r="S257" s="548"/>
      <c r="T257" s="544"/>
      <c r="U257" s="548"/>
      <c r="V257" s="586">
        <f>+V247/V$217</f>
        <v>0.2681015998680521</v>
      </c>
      <c r="W257" s="817"/>
      <c r="X257" s="849">
        <f aca="true" t="shared" si="11" ref="X257:X262">+(R257-E257)*100</f>
        <v>-6.024406709423205</v>
      </c>
      <c r="Y257" s="817"/>
      <c r="Z257" s="849">
        <f aca="true" t="shared" si="12" ref="Z257:Z262">+(V257-K257)*100</f>
        <v>-3.305175339978217</v>
      </c>
      <c r="AA257" s="817"/>
      <c r="AB257" s="817"/>
      <c r="AC257" s="400"/>
    </row>
    <row r="258" spans="2:29" ht="12.75">
      <c r="B258" s="375"/>
      <c r="C258" s="103"/>
      <c r="D258" s="619" t="s">
        <v>8</v>
      </c>
      <c r="E258" s="682">
        <v>-0.1366120218579235</v>
      </c>
      <c r="F258" s="548"/>
      <c r="G258" s="577"/>
      <c r="H258" s="577"/>
      <c r="I258" s="576"/>
      <c r="J258" s="548"/>
      <c r="K258" s="685">
        <v>-0.06312548113933796</v>
      </c>
      <c r="L258" s="548"/>
      <c r="M258" s="548"/>
      <c r="N258" s="548"/>
      <c r="O258" s="575"/>
      <c r="P258" s="548"/>
      <c r="Q258" s="557" t="s">
        <v>8</v>
      </c>
      <c r="R258" s="588">
        <f>+R248/R$220</f>
        <v>-0.04466019417475728</v>
      </c>
      <c r="S258" s="548"/>
      <c r="T258" s="552"/>
      <c r="U258" s="548"/>
      <c r="V258" s="589">
        <f>+V248/V$220</f>
        <v>-0.042071197411003236</v>
      </c>
      <c r="W258" s="817"/>
      <c r="X258" s="839">
        <f t="shared" si="11"/>
        <v>9.195182768316624</v>
      </c>
      <c r="Y258" s="817"/>
      <c r="Z258" s="839">
        <f t="shared" si="12"/>
        <v>2.105428372833472</v>
      </c>
      <c r="AA258" s="817"/>
      <c r="AB258" s="817"/>
      <c r="AC258" s="374"/>
    </row>
    <row r="259" spans="2:29" ht="12.75">
      <c r="B259" s="375"/>
      <c r="C259" s="103"/>
      <c r="D259" s="619" t="s">
        <v>31</v>
      </c>
      <c r="E259" s="682">
        <v>0.0052976791120080725</v>
      </c>
      <c r="F259" s="548"/>
      <c r="G259" s="577"/>
      <c r="H259" s="577"/>
      <c r="I259" s="576"/>
      <c r="J259" s="548"/>
      <c r="K259" s="685">
        <v>0.007088731361525299</v>
      </c>
      <c r="L259" s="548"/>
      <c r="M259" s="548"/>
      <c r="N259" s="548"/>
      <c r="O259" s="575"/>
      <c r="P259" s="548"/>
      <c r="Q259" s="557" t="s">
        <v>31</v>
      </c>
      <c r="R259" s="588">
        <f>+R249/R$221</f>
        <v>0.03006012024048096</v>
      </c>
      <c r="S259" s="548"/>
      <c r="T259" s="552"/>
      <c r="U259" s="548"/>
      <c r="V259" s="589">
        <f>+V249/V$221</f>
        <v>0.03006012024048096</v>
      </c>
      <c r="W259" s="817"/>
      <c r="X259" s="839">
        <f t="shared" si="11"/>
        <v>2.4762441128472887</v>
      </c>
      <c r="Y259" s="819"/>
      <c r="Z259" s="839">
        <f t="shared" si="12"/>
        <v>2.297138887895566</v>
      </c>
      <c r="AA259" s="817"/>
      <c r="AB259" s="817"/>
      <c r="AC259" s="374"/>
    </row>
    <row r="260" spans="2:29" ht="12.75">
      <c r="B260" s="375"/>
      <c r="C260" s="103"/>
      <c r="D260" s="619" t="s">
        <v>89</v>
      </c>
      <c r="E260" s="682">
        <v>-0.6618357487922706</v>
      </c>
      <c r="F260" s="548"/>
      <c r="G260" s="577"/>
      <c r="H260" s="577"/>
      <c r="I260" s="576"/>
      <c r="J260" s="548"/>
      <c r="K260" s="685">
        <v>-0.6376811594202898</v>
      </c>
      <c r="L260" s="548"/>
      <c r="M260" s="548"/>
      <c r="N260" s="548"/>
      <c r="O260" s="575"/>
      <c r="P260" s="548"/>
      <c r="Q260" s="557" t="s">
        <v>89</v>
      </c>
      <c r="R260" s="588">
        <f>+R250/R$222</f>
        <v>-0.4448669201520912</v>
      </c>
      <c r="S260" s="548"/>
      <c r="T260" s="552"/>
      <c r="U260" s="548"/>
      <c r="V260" s="589">
        <f>+V250/V$222</f>
        <v>-0.4372623574144487</v>
      </c>
      <c r="W260" s="817"/>
      <c r="X260" s="839">
        <f t="shared" si="11"/>
        <v>21.696882864017937</v>
      </c>
      <c r="Y260" s="819"/>
      <c r="Z260" s="839">
        <f t="shared" si="12"/>
        <v>20.04188020058411</v>
      </c>
      <c r="AA260" s="817"/>
      <c r="AB260" s="817"/>
      <c r="AC260" s="374"/>
    </row>
    <row r="261" spans="2:29" ht="12.75">
      <c r="B261" s="375"/>
      <c r="C261" s="103"/>
      <c r="D261" s="619" t="s">
        <v>9</v>
      </c>
      <c r="E261" s="682">
        <v>-0.11363636363636363</v>
      </c>
      <c r="F261" s="548"/>
      <c r="G261" s="577"/>
      <c r="H261" s="577"/>
      <c r="I261" s="576"/>
      <c r="J261" s="548"/>
      <c r="K261" s="685">
        <v>-0.08636363636363636</v>
      </c>
      <c r="L261" s="548"/>
      <c r="M261" s="548"/>
      <c r="N261" s="548"/>
      <c r="O261" s="575"/>
      <c r="P261" s="548"/>
      <c r="Q261" s="557" t="s">
        <v>9</v>
      </c>
      <c r="R261" s="588">
        <f>+R251/R$223</f>
        <v>-0.16176470588235295</v>
      </c>
      <c r="S261" s="548"/>
      <c r="T261" s="552"/>
      <c r="U261" s="548"/>
      <c r="V261" s="589">
        <f>+V251/V$223</f>
        <v>-0.08333333333333333</v>
      </c>
      <c r="W261" s="817"/>
      <c r="X261" s="839">
        <f t="shared" si="11"/>
        <v>-4.812834224598932</v>
      </c>
      <c r="Y261" s="819"/>
      <c r="Z261" s="839">
        <f t="shared" si="12"/>
        <v>0.3030303030303036</v>
      </c>
      <c r="AA261" s="817"/>
      <c r="AB261" s="817"/>
      <c r="AC261" s="374"/>
    </row>
    <row r="262" spans="2:29" ht="12.75">
      <c r="B262" s="375"/>
      <c r="C262" s="103"/>
      <c r="D262" s="272" t="s">
        <v>10</v>
      </c>
      <c r="E262" s="683">
        <v>0.23779376498800958</v>
      </c>
      <c r="F262" s="579"/>
      <c r="G262" s="602"/>
      <c r="H262" s="602"/>
      <c r="I262" s="603"/>
      <c r="J262" s="548"/>
      <c r="K262" s="686">
        <v>0.23928526408672635</v>
      </c>
      <c r="L262" s="548"/>
      <c r="M262" s="548"/>
      <c r="N262" s="548"/>
      <c r="O262" s="575"/>
      <c r="P262" s="548"/>
      <c r="Q262" s="272" t="s">
        <v>10</v>
      </c>
      <c r="R262" s="281">
        <f>+R254/R$226</f>
        <v>0.1842122083732822</v>
      </c>
      <c r="S262" s="548"/>
      <c r="T262" s="562"/>
      <c r="U262" s="548"/>
      <c r="V262" s="282">
        <f>+V254/V$226</f>
        <v>0.20915011812783346</v>
      </c>
      <c r="W262" s="817"/>
      <c r="X262" s="866">
        <f t="shared" si="11"/>
        <v>-5.358155661472738</v>
      </c>
      <c r="Y262" s="867"/>
      <c r="Z262" s="866">
        <f t="shared" si="12"/>
        <v>-3.0135145958892884</v>
      </c>
      <c r="AA262" s="817"/>
      <c r="AB262" s="817"/>
      <c r="AC262" s="374"/>
    </row>
    <row r="263" spans="2:29" ht="13.5" thickBot="1">
      <c r="B263" s="375"/>
      <c r="C263" s="103"/>
      <c r="D263" s="286"/>
      <c r="E263" s="385"/>
      <c r="F263" s="385"/>
      <c r="G263" s="287"/>
      <c r="H263" s="287"/>
      <c r="I263" s="604"/>
      <c r="J263" s="385"/>
      <c r="K263" s="385"/>
      <c r="L263" s="385"/>
      <c r="M263" s="385"/>
      <c r="N263" s="385"/>
      <c r="O263" s="386"/>
      <c r="P263" s="379"/>
      <c r="Q263" s="288"/>
      <c r="R263" s="387"/>
      <c r="S263" s="387"/>
      <c r="T263" s="387"/>
      <c r="U263" s="387"/>
      <c r="V263" s="289"/>
      <c r="W263" s="821"/>
      <c r="X263" s="840"/>
      <c r="Y263" s="819"/>
      <c r="Z263" s="840"/>
      <c r="AA263" s="819"/>
      <c r="AB263" s="819"/>
      <c r="AC263" s="374"/>
    </row>
    <row r="264" spans="2:29" ht="13.5" thickTop="1">
      <c r="B264" s="375"/>
      <c r="C264" s="103"/>
      <c r="D264" s="1533" t="s">
        <v>200</v>
      </c>
      <c r="E264" s="1533"/>
      <c r="F264" s="1533"/>
      <c r="G264" s="1533"/>
      <c r="H264" s="1533"/>
      <c r="I264" s="1533"/>
      <c r="J264" s="1533"/>
      <c r="K264" s="1533"/>
      <c r="L264" s="1533"/>
      <c r="M264" s="1533"/>
      <c r="N264" s="1533"/>
      <c r="O264" s="1533"/>
      <c r="P264" s="1533"/>
      <c r="Q264" s="1533"/>
      <c r="R264" s="1533"/>
      <c r="S264" s="1533"/>
      <c r="T264" s="1533"/>
      <c r="U264" s="1533"/>
      <c r="V264" s="1533"/>
      <c r="W264" s="1533"/>
      <c r="X264" s="1533"/>
      <c r="Y264" s="1533"/>
      <c r="Z264" s="1533"/>
      <c r="AA264" s="389"/>
      <c r="AB264" s="389"/>
      <c r="AC264" s="374"/>
    </row>
    <row r="265" spans="2:29" ht="12.75">
      <c r="B265" s="375"/>
      <c r="C265" s="103"/>
      <c r="D265" s="1533"/>
      <c r="E265" s="1533"/>
      <c r="F265" s="1533"/>
      <c r="G265" s="1533"/>
      <c r="H265" s="1533"/>
      <c r="I265" s="1533"/>
      <c r="J265" s="1533"/>
      <c r="K265" s="1533"/>
      <c r="L265" s="1533"/>
      <c r="M265" s="1533"/>
      <c r="N265" s="1533"/>
      <c r="O265" s="1533"/>
      <c r="P265" s="1533"/>
      <c r="Q265" s="1533"/>
      <c r="R265" s="1533"/>
      <c r="S265" s="1533"/>
      <c r="T265" s="1533"/>
      <c r="U265" s="1533"/>
      <c r="V265" s="1533"/>
      <c r="W265" s="1533"/>
      <c r="X265" s="1533"/>
      <c r="Y265" s="1533"/>
      <c r="Z265" s="1533"/>
      <c r="AA265" s="389"/>
      <c r="AB265" s="389"/>
      <c r="AC265" s="374"/>
    </row>
    <row r="266" spans="2:29" ht="27.75" customHeight="1">
      <c r="B266" s="375"/>
      <c r="C266" s="103"/>
      <c r="D266" s="862" t="s">
        <v>328</v>
      </c>
      <c r="E266" s="863"/>
      <c r="F266" s="863"/>
      <c r="G266" s="390" t="s">
        <v>88</v>
      </c>
      <c r="H266" s="391" t="s">
        <v>226</v>
      </c>
      <c r="I266" s="193"/>
      <c r="J266" s="1531" t="s">
        <v>326</v>
      </c>
      <c r="K266" s="1532"/>
      <c r="L266" s="1532"/>
      <c r="M266" s="1532"/>
      <c r="N266" s="1532"/>
      <c r="O266" s="390" t="s">
        <v>88</v>
      </c>
      <c r="P266" s="390"/>
      <c r="Q266" s="391" t="s">
        <v>226</v>
      </c>
      <c r="R266" s="100"/>
      <c r="S266" s="1531" t="s">
        <v>327</v>
      </c>
      <c r="T266" s="1532"/>
      <c r="U266" s="1532"/>
      <c r="V266" s="1532"/>
      <c r="W266" s="859"/>
      <c r="X266" s="390" t="s">
        <v>88</v>
      </c>
      <c r="Y266" s="390"/>
      <c r="Z266" s="391" t="s">
        <v>226</v>
      </c>
      <c r="AA266" s="389"/>
      <c r="AB266" s="389"/>
      <c r="AC266" s="374"/>
    </row>
    <row r="267" spans="2:29" ht="12.75">
      <c r="B267" s="375"/>
      <c r="C267" s="103"/>
      <c r="D267" s="617" t="s">
        <v>329</v>
      </c>
      <c r="E267" s="111"/>
      <c r="F267" s="100"/>
      <c r="G267" s="100"/>
      <c r="H267" s="892">
        <v>56</v>
      </c>
      <c r="I267" s="193"/>
      <c r="J267" s="667" t="s">
        <v>336</v>
      </c>
      <c r="K267" s="389"/>
      <c r="L267" s="389"/>
      <c r="M267" s="392"/>
      <c r="N267" s="392"/>
      <c r="O267" s="605">
        <v>107</v>
      </c>
      <c r="P267" s="104"/>
      <c r="Q267" s="860">
        <v>177</v>
      </c>
      <c r="R267" s="100"/>
      <c r="S267" s="667" t="s">
        <v>336</v>
      </c>
      <c r="T267" s="389"/>
      <c r="U267" s="389"/>
      <c r="V267" s="392"/>
      <c r="W267" s="392"/>
      <c r="X267" s="605">
        <v>107</v>
      </c>
      <c r="Y267" s="104"/>
      <c r="Z267" s="393">
        <v>177</v>
      </c>
      <c r="AA267" s="389"/>
      <c r="AB267" s="389"/>
      <c r="AC267" s="374"/>
    </row>
    <row r="268" spans="2:29" ht="12.75">
      <c r="B268" s="375"/>
      <c r="C268" s="103"/>
      <c r="D268" s="617" t="s">
        <v>322</v>
      </c>
      <c r="E268" s="111"/>
      <c r="F268" s="100"/>
      <c r="G268" s="100"/>
      <c r="H268" s="892">
        <v>-24</v>
      </c>
      <c r="I268" s="193"/>
      <c r="J268" s="667" t="s">
        <v>191</v>
      </c>
      <c r="K268" s="389"/>
      <c r="L268" s="389"/>
      <c r="M268" s="392"/>
      <c r="N268" s="392"/>
      <c r="O268" s="605">
        <v>13</v>
      </c>
      <c r="P268" s="104"/>
      <c r="Q268" s="860"/>
      <c r="R268" s="100"/>
      <c r="S268" s="667" t="s">
        <v>191</v>
      </c>
      <c r="T268" s="389"/>
      <c r="U268" s="389"/>
      <c r="V268" s="392"/>
      <c r="W268" s="392"/>
      <c r="X268" s="605">
        <v>13</v>
      </c>
      <c r="Y268" s="104"/>
      <c r="Z268" s="393"/>
      <c r="AA268" s="389"/>
      <c r="AB268" s="389"/>
      <c r="AC268" s="374"/>
    </row>
    <row r="269" spans="2:29" ht="12.75">
      <c r="B269" s="375"/>
      <c r="C269" s="103"/>
      <c r="D269" s="291" t="s">
        <v>139</v>
      </c>
      <c r="E269" s="893"/>
      <c r="F269" s="592"/>
      <c r="G269" s="592"/>
      <c r="H269" s="894">
        <v>32</v>
      </c>
      <c r="I269" s="193"/>
      <c r="J269" s="667" t="s">
        <v>300</v>
      </c>
      <c r="K269" s="389"/>
      <c r="L269" s="389"/>
      <c r="M269" s="392"/>
      <c r="N269" s="392"/>
      <c r="O269" s="605">
        <v>61</v>
      </c>
      <c r="P269" s="104"/>
      <c r="Q269" s="860"/>
      <c r="R269" s="100"/>
      <c r="S269" s="667" t="s">
        <v>300</v>
      </c>
      <c r="T269" s="389"/>
      <c r="U269" s="389"/>
      <c r="V269" s="392"/>
      <c r="W269" s="392"/>
      <c r="X269" s="605">
        <v>61</v>
      </c>
      <c r="Y269" s="109"/>
      <c r="Z269" s="393"/>
      <c r="AA269" s="389"/>
      <c r="AB269" s="389"/>
      <c r="AC269" s="374"/>
    </row>
    <row r="270" spans="2:29" ht="12.75">
      <c r="B270" s="375"/>
      <c r="C270" s="103"/>
      <c r="D270" s="111"/>
      <c r="E270" s="111"/>
      <c r="F270" s="100"/>
      <c r="G270" s="100"/>
      <c r="H270" s="100"/>
      <c r="I270" s="193"/>
      <c r="J270" s="667" t="s">
        <v>301</v>
      </c>
      <c r="K270" s="109"/>
      <c r="L270" s="109"/>
      <c r="M270" s="109"/>
      <c r="N270" s="109"/>
      <c r="O270" s="687">
        <v>24</v>
      </c>
      <c r="P270" s="104"/>
      <c r="Q270" s="860"/>
      <c r="R270" s="100"/>
      <c r="S270" s="667" t="s">
        <v>301</v>
      </c>
      <c r="T270" s="109"/>
      <c r="U270" s="109"/>
      <c r="V270" s="109"/>
      <c r="W270" s="109"/>
      <c r="X270" s="687">
        <v>24</v>
      </c>
      <c r="Y270" s="109"/>
      <c r="Z270" s="393"/>
      <c r="AA270" s="389"/>
      <c r="AB270" s="389"/>
      <c r="AC270" s="374"/>
    </row>
    <row r="271" spans="2:29" ht="12.75">
      <c r="B271" s="375"/>
      <c r="C271" s="103"/>
      <c r="D271" s="111"/>
      <c r="E271" s="111"/>
      <c r="F271" s="100"/>
      <c r="G271" s="100"/>
      <c r="H271" s="100"/>
      <c r="I271" s="193"/>
      <c r="J271" s="617" t="s">
        <v>298</v>
      </c>
      <c r="K271" s="111"/>
      <c r="L271" s="100"/>
      <c r="M271" s="100"/>
      <c r="N271" s="100"/>
      <c r="O271" s="193"/>
      <c r="P271" s="104"/>
      <c r="Q271" s="860">
        <v>448</v>
      </c>
      <c r="R271" s="100"/>
      <c r="S271" s="667" t="s">
        <v>303</v>
      </c>
      <c r="T271" s="389"/>
      <c r="U271" s="389"/>
      <c r="V271" s="392"/>
      <c r="W271" s="392"/>
      <c r="X271" s="605">
        <v>9</v>
      </c>
      <c r="Y271" s="109"/>
      <c r="Z271" s="393"/>
      <c r="AA271" s="389"/>
      <c r="AB271" s="389"/>
      <c r="AC271" s="374"/>
    </row>
    <row r="272" spans="2:29" ht="12.75">
      <c r="B272" s="375"/>
      <c r="C272" s="103"/>
      <c r="D272" s="111"/>
      <c r="E272" s="111"/>
      <c r="F272" s="100"/>
      <c r="G272" s="100"/>
      <c r="H272" s="100"/>
      <c r="I272" s="193"/>
      <c r="J272" s="617" t="s">
        <v>322</v>
      </c>
      <c r="K272" s="111"/>
      <c r="L272" s="100"/>
      <c r="M272" s="100"/>
      <c r="N272" s="100"/>
      <c r="O272" s="193"/>
      <c r="P272" s="100"/>
      <c r="Q272" s="895">
        <v>92</v>
      </c>
      <c r="R272" s="100"/>
      <c r="S272" s="667" t="s">
        <v>313</v>
      </c>
      <c r="T272" s="109"/>
      <c r="U272" s="109"/>
      <c r="V272" s="109"/>
      <c r="W272" s="109"/>
      <c r="X272" s="687">
        <v>16</v>
      </c>
      <c r="Y272" s="109"/>
      <c r="Z272" s="393"/>
      <c r="AA272" s="389"/>
      <c r="AB272" s="389"/>
      <c r="AC272" s="374"/>
    </row>
    <row r="273" spans="2:29" ht="12.75">
      <c r="B273" s="375"/>
      <c r="C273" s="103"/>
      <c r="D273" s="111"/>
      <c r="E273" s="111"/>
      <c r="F273" s="100"/>
      <c r="G273" s="100"/>
      <c r="H273" s="100"/>
      <c r="I273" s="193"/>
      <c r="J273" s="858" t="s">
        <v>323</v>
      </c>
      <c r="K273" s="389"/>
      <c r="L273" s="389"/>
      <c r="M273" s="392"/>
      <c r="N273" s="392"/>
      <c r="O273" s="607"/>
      <c r="P273" s="389"/>
      <c r="Q273" s="860">
        <v>17</v>
      </c>
      <c r="R273" s="100"/>
      <c r="S273" s="667" t="s">
        <v>193</v>
      </c>
      <c r="T273" s="389"/>
      <c r="U273" s="389"/>
      <c r="V273" s="392"/>
      <c r="W273" s="392"/>
      <c r="X273" s="605">
        <v>-135</v>
      </c>
      <c r="Y273" s="104"/>
      <c r="Z273" s="393"/>
      <c r="AA273" s="389"/>
      <c r="AB273" s="389"/>
      <c r="AC273" s="374"/>
    </row>
    <row r="274" spans="2:29" ht="12.75">
      <c r="B274" s="375"/>
      <c r="C274" s="103"/>
      <c r="D274" s="111"/>
      <c r="E274" s="111"/>
      <c r="F274" s="100"/>
      <c r="G274" s="100"/>
      <c r="H274" s="100"/>
      <c r="I274" s="193"/>
      <c r="J274" s="858" t="s">
        <v>324</v>
      </c>
      <c r="K274" s="389"/>
      <c r="L274" s="389"/>
      <c r="M274" s="392"/>
      <c r="N274" s="392"/>
      <c r="O274" s="607"/>
      <c r="P274" s="389"/>
      <c r="Q274" s="860">
        <v>20</v>
      </c>
      <c r="R274" s="100"/>
      <c r="S274" s="667" t="s">
        <v>194</v>
      </c>
      <c r="T274" s="109"/>
      <c r="U274" s="109"/>
      <c r="V274" s="109"/>
      <c r="W274" s="109"/>
      <c r="X274" s="605">
        <v>-27</v>
      </c>
      <c r="Y274" s="104"/>
      <c r="Z274" s="393">
        <v>-10</v>
      </c>
      <c r="AA274" s="389"/>
      <c r="AB274" s="389"/>
      <c r="AC274" s="374"/>
    </row>
    <row r="275" spans="2:29" ht="12.75">
      <c r="B275" s="375"/>
      <c r="C275" s="103"/>
      <c r="D275" s="111"/>
      <c r="E275" s="111"/>
      <c r="F275" s="100"/>
      <c r="G275" s="100"/>
      <c r="H275" s="100"/>
      <c r="I275" s="193"/>
      <c r="J275" s="617" t="s">
        <v>325</v>
      </c>
      <c r="K275" s="111"/>
      <c r="L275" s="100"/>
      <c r="M275" s="100"/>
      <c r="N275" s="100"/>
      <c r="O275" s="193"/>
      <c r="P275" s="389"/>
      <c r="Q275" s="860">
        <v>6</v>
      </c>
      <c r="R275" s="100"/>
      <c r="S275" s="667" t="s">
        <v>302</v>
      </c>
      <c r="T275" s="389"/>
      <c r="U275" s="389"/>
      <c r="V275" s="392"/>
      <c r="W275" s="392"/>
      <c r="X275" s="605">
        <v>33</v>
      </c>
      <c r="Y275" s="109"/>
      <c r="Z275" s="393"/>
      <c r="AA275" s="389"/>
      <c r="AB275" s="389"/>
      <c r="AC275" s="374"/>
    </row>
    <row r="276" spans="2:29" ht="12.75">
      <c r="B276" s="375"/>
      <c r="C276" s="103"/>
      <c r="D276" s="111"/>
      <c r="E276" s="111"/>
      <c r="F276" s="100"/>
      <c r="G276" s="100"/>
      <c r="H276" s="100"/>
      <c r="I276" s="193"/>
      <c r="J276" s="667" t="s">
        <v>192</v>
      </c>
      <c r="K276" s="389"/>
      <c r="L276" s="389"/>
      <c r="M276" s="392"/>
      <c r="N276" s="392"/>
      <c r="O276" s="605">
        <v>27</v>
      </c>
      <c r="P276" s="100"/>
      <c r="Q276" s="895">
        <v>36</v>
      </c>
      <c r="R276" s="100"/>
      <c r="S276" s="617" t="s">
        <v>298</v>
      </c>
      <c r="T276" s="111"/>
      <c r="U276" s="100"/>
      <c r="V276" s="100"/>
      <c r="W276" s="100"/>
      <c r="X276" s="193"/>
      <c r="Y276" s="100"/>
      <c r="Z276" s="892">
        <v>448</v>
      </c>
      <c r="AA276" s="389"/>
      <c r="AB276" s="389"/>
      <c r="AC276" s="374"/>
    </row>
    <row r="277" spans="2:29" ht="12.75">
      <c r="B277" s="375"/>
      <c r="C277" s="103"/>
      <c r="D277" s="111"/>
      <c r="E277" s="111"/>
      <c r="F277" s="100"/>
      <c r="G277" s="100"/>
      <c r="H277" s="100"/>
      <c r="I277" s="193"/>
      <c r="J277" s="688" t="s">
        <v>139</v>
      </c>
      <c r="K277" s="394"/>
      <c r="L277" s="394"/>
      <c r="M277" s="395"/>
      <c r="N277" s="395"/>
      <c r="O277" s="606">
        <v>232</v>
      </c>
      <c r="P277" s="394"/>
      <c r="Q277" s="861">
        <v>796</v>
      </c>
      <c r="R277" s="100"/>
      <c r="S277" s="617" t="s">
        <v>322</v>
      </c>
      <c r="T277" s="111"/>
      <c r="U277" s="100"/>
      <c r="V277" s="100"/>
      <c r="W277" s="100"/>
      <c r="X277" s="193"/>
      <c r="Y277" s="100"/>
      <c r="Z277" s="892">
        <v>92</v>
      </c>
      <c r="AA277" s="389"/>
      <c r="AB277" s="389"/>
      <c r="AC277" s="374"/>
    </row>
    <row r="278" spans="2:29" s="95" customFormat="1" ht="12.75">
      <c r="B278" s="375"/>
      <c r="C278" s="103"/>
      <c r="D278" s="101"/>
      <c r="E278" s="103"/>
      <c r="F278" s="104"/>
      <c r="G278" s="103"/>
      <c r="H278" s="103"/>
      <c r="I278" s="609"/>
      <c r="J278" s="104"/>
      <c r="K278" s="103"/>
      <c r="L278" s="103"/>
      <c r="M278" s="103"/>
      <c r="N278" s="109"/>
      <c r="O278" s="109"/>
      <c r="P278" s="109"/>
      <c r="Q278" s="103"/>
      <c r="R278" s="103"/>
      <c r="S278" s="858" t="s">
        <v>323</v>
      </c>
      <c r="T278" s="389"/>
      <c r="U278" s="389"/>
      <c r="V278" s="392"/>
      <c r="W278" s="392"/>
      <c r="X278" s="607"/>
      <c r="Y278" s="109"/>
      <c r="Z278" s="864">
        <v>23</v>
      </c>
      <c r="AA278" s="109"/>
      <c r="AB278" s="103"/>
      <c r="AC278" s="374"/>
    </row>
    <row r="279" spans="2:29" ht="12.75">
      <c r="B279" s="185"/>
      <c r="C279" s="111"/>
      <c r="D279" s="111"/>
      <c r="E279" s="111"/>
      <c r="F279" s="100"/>
      <c r="G279" s="100"/>
      <c r="H279" s="100"/>
      <c r="I279" s="193"/>
      <c r="J279" s="100"/>
      <c r="K279" s="100"/>
      <c r="L279" s="100"/>
      <c r="M279" s="100"/>
      <c r="N279" s="100"/>
      <c r="O279" s="100"/>
      <c r="P279" s="100"/>
      <c r="Q279" s="100"/>
      <c r="R279" s="100"/>
      <c r="S279" s="858" t="s">
        <v>324</v>
      </c>
      <c r="T279" s="389"/>
      <c r="U279" s="389"/>
      <c r="V279" s="392"/>
      <c r="W279" s="392"/>
      <c r="X279" s="607"/>
      <c r="Y279" s="100"/>
      <c r="Z279" s="892">
        <v>20</v>
      </c>
      <c r="AA279" s="100"/>
      <c r="AB279" s="100"/>
      <c r="AC279" s="202"/>
    </row>
    <row r="280" spans="2:29" ht="12.75">
      <c r="B280" s="185"/>
      <c r="C280" s="111"/>
      <c r="D280" s="111"/>
      <c r="E280" s="111"/>
      <c r="F280" s="100"/>
      <c r="G280" s="100"/>
      <c r="H280" s="100"/>
      <c r="I280" s="193"/>
      <c r="J280" s="100"/>
      <c r="K280" s="100"/>
      <c r="L280" s="100"/>
      <c r="M280" s="100"/>
      <c r="N280" s="100"/>
      <c r="O280" s="100"/>
      <c r="P280" s="100"/>
      <c r="Q280" s="100"/>
      <c r="R280" s="100"/>
      <c r="S280" s="617" t="s">
        <v>325</v>
      </c>
      <c r="T280" s="111"/>
      <c r="U280" s="100"/>
      <c r="V280" s="100"/>
      <c r="W280" s="100"/>
      <c r="X280" s="193"/>
      <c r="Y280" s="100"/>
      <c r="Z280" s="892">
        <v>6</v>
      </c>
      <c r="AA280" s="100"/>
      <c r="AB280" s="100"/>
      <c r="AC280" s="202"/>
    </row>
    <row r="281" spans="2:29" ht="12.75">
      <c r="B281" s="185"/>
      <c r="C281" s="111"/>
      <c r="D281" s="111"/>
      <c r="E281" s="111"/>
      <c r="F281" s="100"/>
      <c r="G281" s="100"/>
      <c r="H281" s="100"/>
      <c r="I281" s="193"/>
      <c r="J281" s="100"/>
      <c r="K281" s="100"/>
      <c r="L281" s="100"/>
      <c r="M281" s="100"/>
      <c r="N281" s="100"/>
      <c r="O281" s="100"/>
      <c r="P281" s="100"/>
      <c r="Q281" s="100"/>
      <c r="R281" s="100"/>
      <c r="S281" s="667" t="s">
        <v>192</v>
      </c>
      <c r="T281" s="389"/>
      <c r="U281" s="389"/>
      <c r="V281" s="392"/>
      <c r="W281" s="392"/>
      <c r="X281" s="605">
        <v>26</v>
      </c>
      <c r="Y281" s="104"/>
      <c r="Z281" s="393">
        <v>31</v>
      </c>
      <c r="AA281" s="100"/>
      <c r="AB281" s="100"/>
      <c r="AC281" s="202"/>
    </row>
    <row r="282" spans="2:29" ht="12.75">
      <c r="B282" s="185"/>
      <c r="C282" s="111"/>
      <c r="D282" s="111"/>
      <c r="E282" s="111"/>
      <c r="F282" s="100"/>
      <c r="G282" s="100"/>
      <c r="H282" s="100"/>
      <c r="I282" s="193"/>
      <c r="J282" s="100"/>
      <c r="K282" s="100"/>
      <c r="L282" s="100"/>
      <c r="M282" s="100"/>
      <c r="N282" s="100"/>
      <c r="O282" s="100"/>
      <c r="P282" s="100"/>
      <c r="Q282" s="100"/>
      <c r="R282" s="100"/>
      <c r="S282" s="688" t="s">
        <v>139</v>
      </c>
      <c r="T282" s="394"/>
      <c r="U282" s="394"/>
      <c r="V282" s="395"/>
      <c r="W282" s="395"/>
      <c r="X282" s="606">
        <v>127</v>
      </c>
      <c r="Y282" s="394"/>
      <c r="Z282" s="396">
        <v>787</v>
      </c>
      <c r="AA282" s="100"/>
      <c r="AB282" s="100"/>
      <c r="AC282" s="202"/>
    </row>
    <row r="283" spans="2:29" ht="12.75">
      <c r="B283" s="444"/>
      <c r="C283" s="112"/>
      <c r="D283" s="112"/>
      <c r="E283" s="112"/>
      <c r="F283" s="113"/>
      <c r="G283" s="113"/>
      <c r="H283" s="113"/>
      <c r="I283" s="896"/>
      <c r="J283" s="113"/>
      <c r="K283" s="113"/>
      <c r="L283" s="113"/>
      <c r="M283" s="113"/>
      <c r="N283" s="113"/>
      <c r="O283" s="113"/>
      <c r="P283" s="113"/>
      <c r="Q283" s="113"/>
      <c r="R283" s="113"/>
      <c r="S283" s="113"/>
      <c r="T283" s="113"/>
      <c r="U283" s="113"/>
      <c r="V283" s="113"/>
      <c r="W283" s="113"/>
      <c r="X283" s="113"/>
      <c r="Y283" s="113"/>
      <c r="Z283" s="113"/>
      <c r="AA283" s="113"/>
      <c r="AB283" s="113"/>
      <c r="AC283" s="445"/>
    </row>
  </sheetData>
  <sheetProtection formatCells="0" formatColumns="0" formatRows="0" insertColumns="0" insertRows="0" insertHyperlinks="0" deleteColumns="0" deleteRows="0" sort="0" autoFilter="0" pivotTables="0"/>
  <mergeCells count="57">
    <mergeCell ref="B2:AC2"/>
    <mergeCell ref="D195:H195"/>
    <mergeCell ref="D58:H58"/>
    <mergeCell ref="Q71:V71"/>
    <mergeCell ref="Q72:R72"/>
    <mergeCell ref="D145:E145"/>
    <mergeCell ref="Q145:R145"/>
    <mergeCell ref="G144:G145"/>
    <mergeCell ref="H144:H145"/>
    <mergeCell ref="I144:I145"/>
    <mergeCell ref="G74:G75"/>
    <mergeCell ref="H74:H75"/>
    <mergeCell ref="D75:E75"/>
    <mergeCell ref="Q75:R75"/>
    <mergeCell ref="I74:I75"/>
    <mergeCell ref="Q73:R73"/>
    <mergeCell ref="D56:Z57"/>
    <mergeCell ref="D8:E8"/>
    <mergeCell ref="I7:I8"/>
    <mergeCell ref="D71:O72"/>
    <mergeCell ref="D73:E73"/>
    <mergeCell ref="G73:I73"/>
    <mergeCell ref="D193:Z194"/>
    <mergeCell ref="D143:E143"/>
    <mergeCell ref="D123:Z124"/>
    <mergeCell ref="D125:H125"/>
    <mergeCell ref="B139:AC140"/>
    <mergeCell ref="D141:O142"/>
    <mergeCell ref="Q141:V141"/>
    <mergeCell ref="Q142:R142"/>
    <mergeCell ref="G143:I143"/>
    <mergeCell ref="Q143:R143"/>
    <mergeCell ref="Q4:V4"/>
    <mergeCell ref="B69:AC70"/>
    <mergeCell ref="D6:E6"/>
    <mergeCell ref="G6:I6"/>
    <mergeCell ref="Q5:R5"/>
    <mergeCell ref="Q6:R6"/>
    <mergeCell ref="D4:O5"/>
    <mergeCell ref="H7:H8"/>
    <mergeCell ref="G7:G8"/>
    <mergeCell ref="Q8:R8"/>
    <mergeCell ref="Q216:R216"/>
    <mergeCell ref="B210:AC211"/>
    <mergeCell ref="D212:O213"/>
    <mergeCell ref="Q212:V212"/>
    <mergeCell ref="Q213:R213"/>
    <mergeCell ref="J266:N266"/>
    <mergeCell ref="S266:V266"/>
    <mergeCell ref="D264:Z265"/>
    <mergeCell ref="D214:E214"/>
    <mergeCell ref="G214:I214"/>
    <mergeCell ref="Q214:R214"/>
    <mergeCell ref="G215:G216"/>
    <mergeCell ref="H215:H216"/>
    <mergeCell ref="I215:I216"/>
    <mergeCell ref="D216:E216"/>
  </mergeCells>
  <hyperlinks>
    <hyperlink ref="AE15" location="'Domestic Business Results'!A1" display="Domestic Business Results"/>
    <hyperlink ref="AE16" location="'Domestic Wireline Results'!A1" display="Domestic Wireline Results"/>
    <hyperlink ref="AE17" location="'Domestic Mobile Results'!A1" display="Domestic Mobile Results"/>
    <hyperlink ref="AE18" location="'TIM Brasil Results'!A1" display="TIM Brasil Results"/>
    <hyperlink ref="AE19" location="'European BroadBand'!A1" display="European BroadBand"/>
    <hyperlink ref="AE21" location="'Main Group''s Subsidiries'!A1" display="Main Group's Subsidiaries"/>
    <hyperlink ref="AE10" location="'Key fin data by BU YTD'!A1" display="Key Financial data by BU YTD"/>
    <hyperlink ref="AE22" location="'Analyst Tools'!A1" display="Analyst Tools"/>
    <hyperlink ref="AE20" location="'Historic Quartely Proforma'!A1" display="Historic Quarter Proforma"/>
    <hyperlink ref="AE9" location="'P&amp;L Group by quarter'!A1" display="P&amp;L Group by quarter"/>
    <hyperlink ref="AE11" location="'Key fin. data by BU by quarter'!A1" display="Key Financial data by quarter"/>
    <hyperlink ref="AE8" location="'P&amp;L Group YTD'!A1" display="P&amp;L Group YTD"/>
    <hyperlink ref="AE13" location="'Balance Sheet'!A1" display="Balance Sheet"/>
    <hyperlink ref="AE14" location="'Cashflow Statement'!A1" display="Cashflow Statement"/>
    <hyperlink ref="AE12" location="'Rep&amp;org. fig. by quarter'!A1" display="Reported &amp; Organic Figures by quarter"/>
  </hyperlinks>
  <printOptions horizontalCentered="1" verticalCentered="1"/>
  <pageMargins left="0" right="0" top="0" bottom="0" header="0.5118110236220472" footer="0.31496062992125984"/>
  <pageSetup fitToHeight="2" horizontalDpi="600" verticalDpi="600" orientation="landscape" paperSize="9" scale="50" r:id="rId2"/>
  <rowBreaks count="3" manualBreakCount="3">
    <brk id="67" min="1" max="28" man="1"/>
    <brk id="137" min="1" max="28" man="1"/>
    <brk id="208" min="1" max="28" man="1"/>
  </rowBreaks>
  <drawing r:id="rId1"/>
</worksheet>
</file>

<file path=xl/worksheets/sheet25.xml><?xml version="1.0" encoding="utf-8"?>
<worksheet xmlns="http://schemas.openxmlformats.org/spreadsheetml/2006/main" xmlns:r="http://schemas.openxmlformats.org/officeDocument/2006/relationships">
  <sheetPr codeName="Foglio7">
    <tabColor indexed="10"/>
  </sheetPr>
  <dimension ref="A1:EN265"/>
  <sheetViews>
    <sheetView showGridLines="0" view="pageBreakPreview" zoomScale="75" zoomScaleNormal="70" zoomScaleSheetLayoutView="75" workbookViewId="0" topLeftCell="A1">
      <selection activeCell="D214" sqref="D214:E214"/>
    </sheetView>
  </sheetViews>
  <sheetFormatPr defaultColWidth="9.140625" defaultRowHeight="12.75"/>
  <cols>
    <col min="1" max="1" width="0.9921875" style="88" customWidth="1"/>
    <col min="2" max="3" width="2.00390625" style="88" customWidth="1"/>
    <col min="4" max="4" width="26.7109375" style="88" customWidth="1"/>
    <col min="5" max="5" width="12.421875" style="88" customWidth="1"/>
    <col min="6" max="6" width="1.1484375" style="97" customWidth="1"/>
    <col min="7" max="7" width="16.421875" style="97" customWidth="1"/>
    <col min="8" max="8" width="15.8515625" style="97" customWidth="1"/>
    <col min="9" max="9" width="14.57421875" style="97" customWidth="1"/>
    <col min="10" max="10" width="1.1484375" style="97" customWidth="1"/>
    <col min="11" max="11" width="15.57421875" style="97" customWidth="1"/>
    <col min="12" max="12" width="1.1484375" style="97" customWidth="1"/>
    <col min="13" max="13" width="9.421875" style="97" customWidth="1"/>
    <col min="14" max="14" width="1.1484375" style="97" customWidth="1"/>
    <col min="15" max="15" width="16.57421875" style="97" customWidth="1"/>
    <col min="16" max="16" width="1.7109375" style="97" customWidth="1"/>
    <col min="17" max="17" width="25.140625" style="97" customWidth="1"/>
    <col min="18" max="18" width="12.421875" style="97" customWidth="1"/>
    <col min="19" max="19" width="1.1484375" style="97" customWidth="1"/>
    <col min="20" max="20" width="19.57421875" style="97" customWidth="1"/>
    <col min="21" max="21" width="1.1484375" style="97" customWidth="1"/>
    <col min="22" max="22" width="15.57421875" style="97" customWidth="1"/>
    <col min="23" max="23" width="2.57421875" style="97" customWidth="1"/>
    <col min="24" max="24" width="14.00390625" style="97" customWidth="1"/>
    <col min="25" max="25" width="3.140625" style="97" customWidth="1"/>
    <col min="26" max="26" width="14.00390625" style="97" customWidth="1"/>
    <col min="27" max="27" width="2.28125" style="97" customWidth="1"/>
    <col min="28" max="28" width="16.7109375" style="97" customWidth="1"/>
    <col min="29" max="29" width="2.28125" style="88" customWidth="1"/>
    <col min="30" max="30" width="3.140625" style="88" customWidth="1"/>
    <col min="31" max="31" width="33.8515625" style="88" bestFit="1" customWidth="1"/>
    <col min="32" max="32" width="1.421875" style="88" customWidth="1"/>
    <col min="33" max="16384" width="9.140625" style="88" customWidth="1"/>
  </cols>
  <sheetData>
    <row r="1" spans="2:31" ht="38.25" customHeight="1">
      <c r="B1" s="1514" t="s">
        <v>362</v>
      </c>
      <c r="C1" s="1515"/>
      <c r="D1" s="1515"/>
      <c r="E1" s="1515"/>
      <c r="F1" s="1515"/>
      <c r="G1" s="1515"/>
      <c r="H1" s="1515"/>
      <c r="I1" s="1515"/>
      <c r="J1" s="1515"/>
      <c r="K1" s="1515"/>
      <c r="L1" s="1515"/>
      <c r="M1" s="1515"/>
      <c r="N1" s="1515"/>
      <c r="O1" s="1515"/>
      <c r="P1" s="1515"/>
      <c r="Q1" s="1515"/>
      <c r="R1" s="1515"/>
      <c r="S1" s="1515"/>
      <c r="T1" s="1515"/>
      <c r="U1" s="1515"/>
      <c r="V1" s="1515"/>
      <c r="W1" s="1515"/>
      <c r="X1" s="1515"/>
      <c r="Y1" s="1515"/>
      <c r="Z1" s="1515"/>
      <c r="AA1" s="1515"/>
      <c r="AB1" s="1515"/>
      <c r="AC1" s="1516"/>
      <c r="AD1" s="87"/>
      <c r="AE1" s="456"/>
    </row>
    <row r="2" spans="2:31" ht="34.5" customHeight="1" thickBot="1">
      <c r="B2" s="248"/>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50"/>
      <c r="AD2" s="87"/>
      <c r="AE2" s="457"/>
    </row>
    <row r="3" spans="2:31" s="89" customFormat="1" ht="57" thickTop="1">
      <c r="B3" s="98"/>
      <c r="C3" s="240"/>
      <c r="D3" s="1487" t="s">
        <v>176</v>
      </c>
      <c r="E3" s="1470"/>
      <c r="F3" s="1470"/>
      <c r="G3" s="1470"/>
      <c r="H3" s="1470"/>
      <c r="I3" s="1470"/>
      <c r="J3" s="1470"/>
      <c r="K3" s="1470"/>
      <c r="L3" s="1470"/>
      <c r="M3" s="1470"/>
      <c r="N3" s="1470"/>
      <c r="O3" s="1471"/>
      <c r="P3" s="236"/>
      <c r="Q3" s="1487" t="s">
        <v>6</v>
      </c>
      <c r="R3" s="1470"/>
      <c r="S3" s="1470"/>
      <c r="T3" s="1470"/>
      <c r="U3" s="1470"/>
      <c r="V3" s="1471"/>
      <c r="W3" s="236"/>
      <c r="X3" s="244" t="s">
        <v>183</v>
      </c>
      <c r="Y3" s="246"/>
      <c r="Z3" s="244" t="s">
        <v>184</v>
      </c>
      <c r="AA3" s="246"/>
      <c r="AB3" s="244" t="s">
        <v>185</v>
      </c>
      <c r="AC3" s="99"/>
      <c r="AE3" s="459"/>
    </row>
    <row r="4" spans="2:31" s="90" customFormat="1" ht="10.5" customHeight="1">
      <c r="B4" s="369"/>
      <c r="C4" s="370"/>
      <c r="D4" s="1472"/>
      <c r="E4" s="1473"/>
      <c r="F4" s="1473"/>
      <c r="G4" s="1473"/>
      <c r="H4" s="1473"/>
      <c r="I4" s="1473"/>
      <c r="J4" s="1473"/>
      <c r="K4" s="1473"/>
      <c r="L4" s="1473"/>
      <c r="M4" s="1473"/>
      <c r="N4" s="1473"/>
      <c r="O4" s="1513"/>
      <c r="P4" s="237"/>
      <c r="Q4" s="1483"/>
      <c r="R4" s="1484"/>
      <c r="S4" s="107"/>
      <c r="T4" s="108"/>
      <c r="U4" s="107"/>
      <c r="V4" s="238"/>
      <c r="W4" s="237"/>
      <c r="X4" s="241"/>
      <c r="Y4" s="237"/>
      <c r="Z4" s="241"/>
      <c r="AA4" s="237"/>
      <c r="AB4" s="241"/>
      <c r="AC4" s="371"/>
      <c r="AE4" s="458"/>
    </row>
    <row r="5" spans="2:31" ht="39.75">
      <c r="B5" s="185"/>
      <c r="C5" s="111"/>
      <c r="D5" s="1485" t="s">
        <v>332</v>
      </c>
      <c r="E5" s="1486"/>
      <c r="F5" s="239"/>
      <c r="G5" s="1480" t="s">
        <v>177</v>
      </c>
      <c r="H5" s="1481"/>
      <c r="I5" s="1482"/>
      <c r="J5" s="239"/>
      <c r="K5" s="259" t="s">
        <v>180</v>
      </c>
      <c r="L5" s="110"/>
      <c r="M5" s="259" t="s">
        <v>178</v>
      </c>
      <c r="N5" s="239"/>
      <c r="O5" s="260" t="s">
        <v>209</v>
      </c>
      <c r="P5" s="239"/>
      <c r="Q5" s="1485" t="s">
        <v>179</v>
      </c>
      <c r="R5" s="1486"/>
      <c r="S5" s="239"/>
      <c r="T5" s="257" t="s">
        <v>215</v>
      </c>
      <c r="U5" s="239"/>
      <c r="V5" s="261" t="s">
        <v>189</v>
      </c>
      <c r="W5" s="239"/>
      <c r="X5" s="262" t="s">
        <v>186</v>
      </c>
      <c r="Y5" s="239"/>
      <c r="Z5" s="262" t="s">
        <v>181</v>
      </c>
      <c r="AA5" s="239"/>
      <c r="AB5" s="262" t="s">
        <v>182</v>
      </c>
      <c r="AC5" s="202"/>
      <c r="AE5" s="30" t="s">
        <v>59</v>
      </c>
    </row>
    <row r="6" spans="2:31" s="91" customFormat="1" ht="39" customHeight="1">
      <c r="B6" s="441"/>
      <c r="C6" s="100"/>
      <c r="D6" s="541" t="s">
        <v>11</v>
      </c>
      <c r="E6" s="263"/>
      <c r="F6" s="110"/>
      <c r="G6" s="1517" t="s">
        <v>175</v>
      </c>
      <c r="H6" s="1517" t="s">
        <v>174</v>
      </c>
      <c r="I6" s="1517" t="s">
        <v>216</v>
      </c>
      <c r="J6" s="110"/>
      <c r="K6" s="267"/>
      <c r="L6" s="110"/>
      <c r="M6" s="267"/>
      <c r="N6" s="110"/>
      <c r="O6" s="268"/>
      <c r="P6" s="110"/>
      <c r="Q6" s="541"/>
      <c r="R6" s="263"/>
      <c r="S6" s="110"/>
      <c r="T6" s="897"/>
      <c r="U6" s="110"/>
      <c r="V6" s="267"/>
      <c r="W6" s="110"/>
      <c r="X6" s="242"/>
      <c r="Y6" s="110"/>
      <c r="Z6" s="242"/>
      <c r="AA6" s="110"/>
      <c r="AB6" s="242"/>
      <c r="AC6" s="442"/>
      <c r="AE6" s="31" t="s">
        <v>56</v>
      </c>
    </row>
    <row r="7" spans="2:31" ht="15" customHeight="1">
      <c r="B7" s="185"/>
      <c r="C7" s="111"/>
      <c r="D7" s="1519" t="s">
        <v>0</v>
      </c>
      <c r="E7" s="1520"/>
      <c r="F7" s="270"/>
      <c r="G7" s="1518"/>
      <c r="H7" s="1518"/>
      <c r="I7" s="1518"/>
      <c r="J7" s="270"/>
      <c r="K7" s="269"/>
      <c r="L7" s="270"/>
      <c r="M7" s="269"/>
      <c r="N7" s="270"/>
      <c r="O7" s="271"/>
      <c r="P7" s="234"/>
      <c r="Q7" s="1519" t="s">
        <v>0</v>
      </c>
      <c r="R7" s="1520"/>
      <c r="S7" s="234"/>
      <c r="T7" s="269"/>
      <c r="U7" s="234"/>
      <c r="V7" s="269"/>
      <c r="W7" s="234"/>
      <c r="X7" s="243"/>
      <c r="Y7" s="234"/>
      <c r="Z7" s="243"/>
      <c r="AA7" s="234"/>
      <c r="AB7" s="243"/>
      <c r="AC7" s="202"/>
      <c r="AE7" s="139" t="s">
        <v>206</v>
      </c>
    </row>
    <row r="8" spans="2:31" ht="15" customHeight="1">
      <c r="B8" s="185"/>
      <c r="C8" s="111"/>
      <c r="D8" s="542" t="s">
        <v>7</v>
      </c>
      <c r="E8" s="543">
        <v>6297</v>
      </c>
      <c r="F8" s="544"/>
      <c r="G8" s="544">
        <v>-3</v>
      </c>
      <c r="H8" s="544">
        <v>-5</v>
      </c>
      <c r="I8" s="546"/>
      <c r="J8" s="544"/>
      <c r="K8" s="546">
        <v>6289</v>
      </c>
      <c r="L8" s="544"/>
      <c r="M8" s="544">
        <v>119</v>
      </c>
      <c r="N8" s="544"/>
      <c r="O8" s="547">
        <v>6170</v>
      </c>
      <c r="P8" s="548"/>
      <c r="Q8" s="542" t="s">
        <v>7</v>
      </c>
      <c r="R8" s="543">
        <v>6009</v>
      </c>
      <c r="S8" s="548"/>
      <c r="T8" s="546"/>
      <c r="U8" s="548"/>
      <c r="V8" s="546">
        <v>6009</v>
      </c>
      <c r="W8" s="548"/>
      <c r="X8" s="549">
        <v>-0.04573606479275849</v>
      </c>
      <c r="Y8" s="548"/>
      <c r="Z8" s="549">
        <v>-0.0445221815868978</v>
      </c>
      <c r="AA8" s="548"/>
      <c r="AB8" s="549">
        <v>-0.026094003241491137</v>
      </c>
      <c r="AC8" s="898"/>
      <c r="AE8" s="139" t="s">
        <v>208</v>
      </c>
    </row>
    <row r="9" spans="2:31" ht="15" customHeight="1">
      <c r="B9" s="185"/>
      <c r="C9" s="111"/>
      <c r="D9" s="550" t="s">
        <v>145</v>
      </c>
      <c r="E9" s="551">
        <v>4286</v>
      </c>
      <c r="F9" s="552"/>
      <c r="G9" s="552">
        <v>-3</v>
      </c>
      <c r="H9" s="552">
        <v>-5</v>
      </c>
      <c r="I9" s="554"/>
      <c r="J9" s="552"/>
      <c r="K9" s="554">
        <v>4278</v>
      </c>
      <c r="L9" s="552"/>
      <c r="M9" s="552">
        <v>119</v>
      </c>
      <c r="N9" s="552"/>
      <c r="O9" s="555">
        <v>4159</v>
      </c>
      <c r="P9" s="548"/>
      <c r="Q9" s="550" t="s">
        <v>145</v>
      </c>
      <c r="R9" s="551">
        <v>3989</v>
      </c>
      <c r="S9" s="548"/>
      <c r="T9" s="554"/>
      <c r="U9" s="548"/>
      <c r="V9" s="554">
        <v>3989</v>
      </c>
      <c r="W9" s="548"/>
      <c r="X9" s="556">
        <v>-0.06929538030797944</v>
      </c>
      <c r="Y9" s="548"/>
      <c r="Z9" s="556">
        <v>-0.0675549322113137</v>
      </c>
      <c r="AA9" s="548"/>
      <c r="AB9" s="556">
        <v>-0.04087521038711228</v>
      </c>
      <c r="AC9" s="898"/>
      <c r="AE9" s="139" t="s">
        <v>207</v>
      </c>
    </row>
    <row r="10" spans="2:31" ht="15" customHeight="1">
      <c r="B10" s="185"/>
      <c r="C10" s="111"/>
      <c r="D10" s="550" t="s">
        <v>130</v>
      </c>
      <c r="E10" s="551">
        <v>2370</v>
      </c>
      <c r="F10" s="552"/>
      <c r="G10" s="552"/>
      <c r="H10" s="552"/>
      <c r="I10" s="554"/>
      <c r="J10" s="552"/>
      <c r="K10" s="554">
        <v>2370</v>
      </c>
      <c r="L10" s="552"/>
      <c r="M10" s="552"/>
      <c r="N10" s="552"/>
      <c r="O10" s="555"/>
      <c r="P10" s="548"/>
      <c r="Q10" s="550" t="s">
        <v>130</v>
      </c>
      <c r="R10" s="551">
        <v>2365</v>
      </c>
      <c r="S10" s="548"/>
      <c r="T10" s="554"/>
      <c r="U10" s="548"/>
      <c r="V10" s="554">
        <v>2365</v>
      </c>
      <c r="W10" s="548"/>
      <c r="X10" s="556">
        <v>-0.002109704641350185</v>
      </c>
      <c r="Y10" s="548"/>
      <c r="Z10" s="556">
        <v>-0.002109704641350185</v>
      </c>
      <c r="AA10" s="548"/>
      <c r="AB10" s="556"/>
      <c r="AC10" s="898"/>
      <c r="AE10" s="139" t="s">
        <v>223</v>
      </c>
    </row>
    <row r="11" spans="2:31" ht="15" customHeight="1">
      <c r="B11" s="185"/>
      <c r="C11" s="111"/>
      <c r="D11" s="557" t="s">
        <v>8</v>
      </c>
      <c r="E11" s="558">
        <v>204</v>
      </c>
      <c r="F11" s="552"/>
      <c r="G11" s="552">
        <v>38</v>
      </c>
      <c r="H11" s="552"/>
      <c r="I11" s="560"/>
      <c r="J11" s="552"/>
      <c r="K11" s="554">
        <v>242</v>
      </c>
      <c r="L11" s="552"/>
      <c r="M11" s="552"/>
      <c r="N11" s="552"/>
      <c r="O11" s="555"/>
      <c r="P11" s="548"/>
      <c r="Q11" s="557" t="s">
        <v>8</v>
      </c>
      <c r="R11" s="558">
        <v>304</v>
      </c>
      <c r="S11" s="548"/>
      <c r="T11" s="560"/>
      <c r="U11" s="548"/>
      <c r="V11" s="554">
        <v>304</v>
      </c>
      <c r="W11" s="548"/>
      <c r="X11" s="556">
        <v>0.4901960784313726</v>
      </c>
      <c r="Y11" s="548"/>
      <c r="Z11" s="556">
        <v>0.25619834710743805</v>
      </c>
      <c r="AA11" s="548"/>
      <c r="AB11" s="556"/>
      <c r="AC11" s="202"/>
      <c r="AE11" s="139" t="s">
        <v>224</v>
      </c>
    </row>
    <row r="12" spans="2:31" ht="15" customHeight="1">
      <c r="B12" s="185"/>
      <c r="C12" s="111"/>
      <c r="D12" s="557" t="s">
        <v>31</v>
      </c>
      <c r="E12" s="558">
        <v>837</v>
      </c>
      <c r="F12" s="552"/>
      <c r="G12" s="552"/>
      <c r="H12" s="552">
        <v>-50</v>
      </c>
      <c r="I12" s="560"/>
      <c r="J12" s="552"/>
      <c r="K12" s="554">
        <v>787</v>
      </c>
      <c r="L12" s="552"/>
      <c r="M12" s="552"/>
      <c r="N12" s="552"/>
      <c r="O12" s="555"/>
      <c r="P12" s="548"/>
      <c r="Q12" s="557" t="s">
        <v>31</v>
      </c>
      <c r="R12" s="558">
        <v>1100</v>
      </c>
      <c r="S12" s="548"/>
      <c r="T12" s="560"/>
      <c r="U12" s="548"/>
      <c r="V12" s="554">
        <v>1100</v>
      </c>
      <c r="W12" s="548"/>
      <c r="X12" s="556">
        <v>0.31421744324970136</v>
      </c>
      <c r="Y12" s="548"/>
      <c r="Z12" s="556">
        <v>0.374</v>
      </c>
      <c r="AA12" s="548"/>
      <c r="AB12" s="556"/>
      <c r="AC12" s="202"/>
      <c r="AE12" s="139" t="s">
        <v>310</v>
      </c>
    </row>
    <row r="13" spans="2:31" ht="15" customHeight="1">
      <c r="B13" s="185"/>
      <c r="C13" s="111"/>
      <c r="D13" s="557" t="s">
        <v>89</v>
      </c>
      <c r="E13" s="558">
        <v>44</v>
      </c>
      <c r="F13" s="552"/>
      <c r="G13" s="552"/>
      <c r="H13" s="552"/>
      <c r="I13" s="560"/>
      <c r="J13" s="552"/>
      <c r="K13" s="554">
        <v>44</v>
      </c>
      <c r="L13" s="552"/>
      <c r="M13" s="552"/>
      <c r="N13" s="552"/>
      <c r="O13" s="555"/>
      <c r="P13" s="548"/>
      <c r="Q13" s="557" t="s">
        <v>89</v>
      </c>
      <c r="R13" s="558">
        <v>58</v>
      </c>
      <c r="S13" s="548"/>
      <c r="T13" s="560"/>
      <c r="U13" s="548"/>
      <c r="V13" s="554">
        <v>58</v>
      </c>
      <c r="W13" s="548"/>
      <c r="X13" s="556">
        <v>0.3181818181818181</v>
      </c>
      <c r="Y13" s="548"/>
      <c r="Z13" s="556">
        <v>0.3181818181818181</v>
      </c>
      <c r="AA13" s="548"/>
      <c r="AB13" s="556"/>
      <c r="AC13" s="202"/>
      <c r="AE13" s="139" t="s">
        <v>311</v>
      </c>
    </row>
    <row r="14" spans="2:31" ht="15" customHeight="1">
      <c r="B14" s="185"/>
      <c r="C14" s="111"/>
      <c r="D14" s="557" t="s">
        <v>9</v>
      </c>
      <c r="E14" s="558">
        <v>94</v>
      </c>
      <c r="F14" s="552"/>
      <c r="G14" s="552"/>
      <c r="H14" s="552">
        <v>-1</v>
      </c>
      <c r="I14" s="560"/>
      <c r="J14" s="552"/>
      <c r="K14" s="554">
        <v>93</v>
      </c>
      <c r="L14" s="552"/>
      <c r="M14" s="552"/>
      <c r="N14" s="552"/>
      <c r="O14" s="555"/>
      <c r="P14" s="548"/>
      <c r="Q14" s="557" t="s">
        <v>9</v>
      </c>
      <c r="R14" s="558">
        <v>83</v>
      </c>
      <c r="S14" s="548"/>
      <c r="T14" s="560"/>
      <c r="U14" s="548"/>
      <c r="V14" s="554">
        <v>83</v>
      </c>
      <c r="W14" s="548"/>
      <c r="X14" s="556">
        <v>-0.11702127659574468</v>
      </c>
      <c r="Y14" s="548"/>
      <c r="Z14" s="556">
        <v>-0.10752688172043012</v>
      </c>
      <c r="AA14" s="548"/>
      <c r="AB14" s="556"/>
      <c r="AC14" s="202"/>
      <c r="AE14" s="139" t="s">
        <v>12</v>
      </c>
    </row>
    <row r="15" spans="2:31" ht="15" customHeight="1">
      <c r="B15" s="185"/>
      <c r="C15" s="111"/>
      <c r="D15" s="557" t="s">
        <v>187</v>
      </c>
      <c r="E15" s="558">
        <v>64</v>
      </c>
      <c r="F15" s="552"/>
      <c r="G15" s="552"/>
      <c r="H15" s="552">
        <v>-5</v>
      </c>
      <c r="I15" s="560"/>
      <c r="J15" s="552"/>
      <c r="K15" s="554">
        <v>59</v>
      </c>
      <c r="L15" s="552"/>
      <c r="M15" s="552"/>
      <c r="N15" s="552"/>
      <c r="O15" s="555"/>
      <c r="P15" s="548"/>
      <c r="Q15" s="557" t="s">
        <v>187</v>
      </c>
      <c r="R15" s="558">
        <v>60</v>
      </c>
      <c r="S15" s="548"/>
      <c r="T15" s="560"/>
      <c r="U15" s="548"/>
      <c r="V15" s="554">
        <v>60</v>
      </c>
      <c r="W15" s="548"/>
      <c r="X15" s="556">
        <v>-0.0625</v>
      </c>
      <c r="Y15" s="548"/>
      <c r="Z15" s="556">
        <v>0.016949152542372836</v>
      </c>
      <c r="AA15" s="548"/>
      <c r="AB15" s="556"/>
      <c r="AC15" s="202"/>
      <c r="AE15" s="139" t="s">
        <v>220</v>
      </c>
    </row>
    <row r="16" spans="2:31" ht="15" customHeight="1">
      <c r="B16" s="185"/>
      <c r="C16" s="111"/>
      <c r="D16" s="557" t="s">
        <v>188</v>
      </c>
      <c r="E16" s="561">
        <v>-58</v>
      </c>
      <c r="F16" s="552"/>
      <c r="G16" s="552">
        <v>1</v>
      </c>
      <c r="H16" s="552"/>
      <c r="I16" s="560"/>
      <c r="J16" s="552"/>
      <c r="K16" s="554">
        <v>-57</v>
      </c>
      <c r="L16" s="552"/>
      <c r="M16" s="552"/>
      <c r="N16" s="552"/>
      <c r="O16" s="555"/>
      <c r="P16" s="548"/>
      <c r="Q16" s="557" t="s">
        <v>188</v>
      </c>
      <c r="R16" s="561">
        <v>-74</v>
      </c>
      <c r="S16" s="548"/>
      <c r="T16" s="560"/>
      <c r="U16" s="548"/>
      <c r="V16" s="554">
        <v>-74</v>
      </c>
      <c r="W16" s="548"/>
      <c r="X16" s="556"/>
      <c r="Y16" s="548"/>
      <c r="Z16" s="556"/>
      <c r="AA16" s="548"/>
      <c r="AB16" s="556"/>
      <c r="AC16" s="202"/>
      <c r="AE16" s="139" t="s">
        <v>221</v>
      </c>
    </row>
    <row r="17" spans="2:31" ht="15" customHeight="1" thickBot="1">
      <c r="B17" s="185"/>
      <c r="C17" s="111"/>
      <c r="D17" s="272" t="s">
        <v>10</v>
      </c>
      <c r="E17" s="273">
        <v>7482</v>
      </c>
      <c r="F17" s="562"/>
      <c r="G17" s="274">
        <v>36</v>
      </c>
      <c r="H17" s="275">
        <v>-61</v>
      </c>
      <c r="I17" s="274"/>
      <c r="J17" s="562"/>
      <c r="K17" s="274">
        <v>7457</v>
      </c>
      <c r="L17" s="552"/>
      <c r="M17" s="275">
        <v>119</v>
      </c>
      <c r="N17" s="552"/>
      <c r="O17" s="276">
        <v>7338</v>
      </c>
      <c r="P17" s="548"/>
      <c r="Q17" s="272" t="s">
        <v>10</v>
      </c>
      <c r="R17" s="273">
        <v>7540</v>
      </c>
      <c r="S17" s="548"/>
      <c r="T17" s="274"/>
      <c r="U17" s="548"/>
      <c r="V17" s="274">
        <v>7540</v>
      </c>
      <c r="W17" s="548"/>
      <c r="X17" s="277">
        <v>0.007751937984496138</v>
      </c>
      <c r="Y17" s="548"/>
      <c r="Z17" s="277">
        <v>0.01113048142684736</v>
      </c>
      <c r="AA17" s="548"/>
      <c r="AB17" s="278">
        <v>0.02752793676751164</v>
      </c>
      <c r="AC17" s="202"/>
      <c r="AE17" s="139" t="s">
        <v>222</v>
      </c>
    </row>
    <row r="18" spans="2:31" ht="13.5" thickTop="1">
      <c r="B18" s="185"/>
      <c r="C18" s="111"/>
      <c r="D18" s="564"/>
      <c r="E18" s="565"/>
      <c r="F18" s="548"/>
      <c r="G18" s="566"/>
      <c r="H18" s="566"/>
      <c r="I18" s="566"/>
      <c r="J18" s="548"/>
      <c r="K18" s="566"/>
      <c r="L18" s="111"/>
      <c r="M18" s="111"/>
      <c r="N18" s="100"/>
      <c r="O18" s="568"/>
      <c r="P18" s="100"/>
      <c r="Q18" s="564"/>
      <c r="R18" s="565"/>
      <c r="S18" s="548"/>
      <c r="T18" s="566"/>
      <c r="U18" s="548"/>
      <c r="V18" s="566"/>
      <c r="W18" s="100"/>
      <c r="X18" s="569"/>
      <c r="Y18" s="100"/>
      <c r="Z18" s="569"/>
      <c r="AA18" s="100"/>
      <c r="AB18" s="570"/>
      <c r="AC18" s="202"/>
      <c r="AE18" s="139" t="s">
        <v>8</v>
      </c>
    </row>
    <row r="19" spans="2:31" ht="15" customHeight="1">
      <c r="B19" s="185"/>
      <c r="C19" s="111"/>
      <c r="D19" s="258" t="s">
        <v>45</v>
      </c>
      <c r="E19" s="376"/>
      <c r="F19" s="234"/>
      <c r="G19" s="279"/>
      <c r="H19" s="279"/>
      <c r="I19" s="377"/>
      <c r="J19" s="234"/>
      <c r="K19" s="377"/>
      <c r="L19" s="234"/>
      <c r="M19" s="234"/>
      <c r="N19" s="234"/>
      <c r="O19" s="378"/>
      <c r="P19" s="234"/>
      <c r="Q19" s="258" t="s">
        <v>45</v>
      </c>
      <c r="R19" s="376"/>
      <c r="S19" s="234"/>
      <c r="T19" s="377"/>
      <c r="U19" s="234"/>
      <c r="V19" s="377"/>
      <c r="W19" s="234"/>
      <c r="X19" s="243"/>
      <c r="Y19" s="234"/>
      <c r="Z19" s="243"/>
      <c r="AA19" s="234"/>
      <c r="AB19" s="234"/>
      <c r="AC19" s="202"/>
      <c r="AE19" s="139" t="s">
        <v>161</v>
      </c>
    </row>
    <row r="20" spans="2:31" ht="15" customHeight="1">
      <c r="B20" s="185"/>
      <c r="C20" s="111"/>
      <c r="D20" s="542" t="s">
        <v>7</v>
      </c>
      <c r="E20" s="543">
        <v>3148</v>
      </c>
      <c r="F20" s="573"/>
      <c r="G20" s="544">
        <v>-5</v>
      </c>
      <c r="H20" s="544">
        <v>-1</v>
      </c>
      <c r="I20" s="544">
        <v>30</v>
      </c>
      <c r="J20" s="573"/>
      <c r="K20" s="544">
        <v>3172</v>
      </c>
      <c r="L20" s="548"/>
      <c r="M20" s="548"/>
      <c r="N20" s="548"/>
      <c r="O20" s="575"/>
      <c r="P20" s="548"/>
      <c r="Q20" s="542" t="s">
        <v>7</v>
      </c>
      <c r="R20" s="543">
        <v>2853</v>
      </c>
      <c r="S20" s="548"/>
      <c r="T20" s="544">
        <v>36</v>
      </c>
      <c r="U20" s="548"/>
      <c r="V20" s="544">
        <v>2889</v>
      </c>
      <c r="W20" s="548"/>
      <c r="X20" s="549">
        <v>-0.09371029224904703</v>
      </c>
      <c r="Y20" s="548"/>
      <c r="Z20" s="549">
        <v>-0.08921815889029006</v>
      </c>
      <c r="AA20" s="548"/>
      <c r="AB20" s="548"/>
      <c r="AC20" s="898"/>
      <c r="AE20" s="139" t="s">
        <v>109</v>
      </c>
    </row>
    <row r="21" spans="2:31" ht="15" customHeight="1">
      <c r="B21" s="185"/>
      <c r="C21" s="111"/>
      <c r="D21" s="557" t="s">
        <v>8</v>
      </c>
      <c r="E21" s="558">
        <v>2</v>
      </c>
      <c r="F21" s="548"/>
      <c r="G21" s="552">
        <v>6</v>
      </c>
      <c r="H21" s="552"/>
      <c r="I21" s="552"/>
      <c r="J21" s="548"/>
      <c r="K21" s="552">
        <v>8</v>
      </c>
      <c r="L21" s="548"/>
      <c r="M21" s="548"/>
      <c r="N21" s="548"/>
      <c r="O21" s="548"/>
      <c r="P21" s="578"/>
      <c r="Q21" s="557" t="s">
        <v>8</v>
      </c>
      <c r="R21" s="558">
        <v>30</v>
      </c>
      <c r="S21" s="548"/>
      <c r="T21" s="552"/>
      <c r="U21" s="548"/>
      <c r="V21" s="552">
        <v>30</v>
      </c>
      <c r="W21" s="548"/>
      <c r="X21" s="556"/>
      <c r="Y21" s="548"/>
      <c r="Z21" s="556">
        <v>2.75</v>
      </c>
      <c r="AA21" s="548"/>
      <c r="AB21" s="548"/>
      <c r="AC21" s="898"/>
      <c r="AE21" s="139" t="s">
        <v>157</v>
      </c>
    </row>
    <row r="22" spans="2:31" ht="15" customHeight="1">
      <c r="B22" s="185"/>
      <c r="C22" s="111"/>
      <c r="D22" s="557" t="s">
        <v>31</v>
      </c>
      <c r="E22" s="558">
        <v>181</v>
      </c>
      <c r="F22" s="548"/>
      <c r="G22" s="577"/>
      <c r="H22" s="552">
        <v>-12</v>
      </c>
      <c r="I22" s="552">
        <v>9</v>
      </c>
      <c r="J22" s="548"/>
      <c r="K22" s="552">
        <v>178</v>
      </c>
      <c r="L22" s="548"/>
      <c r="M22" s="548"/>
      <c r="N22" s="548"/>
      <c r="O22" s="548"/>
      <c r="P22" s="578"/>
      <c r="Q22" s="557" t="s">
        <v>31</v>
      </c>
      <c r="R22" s="558">
        <v>269</v>
      </c>
      <c r="S22" s="548"/>
      <c r="T22" s="552"/>
      <c r="U22" s="548"/>
      <c r="V22" s="552">
        <v>269</v>
      </c>
      <c r="W22" s="548"/>
      <c r="X22" s="556">
        <v>0.4861878453038675</v>
      </c>
      <c r="Y22" s="548"/>
      <c r="Z22" s="556">
        <v>0.487</v>
      </c>
      <c r="AA22" s="548"/>
      <c r="AB22" s="548"/>
      <c r="AC22" s="898"/>
      <c r="AE22" s="930" t="s">
        <v>312</v>
      </c>
    </row>
    <row r="23" spans="2:144" ht="15" customHeight="1">
      <c r="B23" s="185"/>
      <c r="C23" s="111"/>
      <c r="D23" s="557" t="s">
        <v>89</v>
      </c>
      <c r="E23" s="561">
        <v>-28</v>
      </c>
      <c r="F23" s="548"/>
      <c r="G23" s="577"/>
      <c r="H23" s="552"/>
      <c r="I23" s="552">
        <v>1</v>
      </c>
      <c r="J23" s="548"/>
      <c r="K23" s="552">
        <v>-27</v>
      </c>
      <c r="L23" s="379"/>
      <c r="M23" s="379"/>
      <c r="N23" s="379"/>
      <c r="O23" s="379"/>
      <c r="P23" s="899"/>
      <c r="Q23" s="557" t="s">
        <v>89</v>
      </c>
      <c r="R23" s="561">
        <v>-11</v>
      </c>
      <c r="S23" s="548"/>
      <c r="T23" s="552">
        <v>1</v>
      </c>
      <c r="U23" s="548"/>
      <c r="V23" s="552">
        <v>-10</v>
      </c>
      <c r="W23" s="379"/>
      <c r="X23" s="556">
        <v>0.6071428571428572</v>
      </c>
      <c r="Y23" s="379"/>
      <c r="Z23" s="556">
        <v>0.6296296296296297</v>
      </c>
      <c r="AA23" s="379"/>
      <c r="AB23" s="379"/>
      <c r="AC23" s="898"/>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row>
    <row r="24" spans="2:144" ht="15" customHeight="1">
      <c r="B24" s="185"/>
      <c r="C24" s="111"/>
      <c r="D24" s="557" t="s">
        <v>9</v>
      </c>
      <c r="E24" s="561">
        <v>-12</v>
      </c>
      <c r="F24" s="548"/>
      <c r="G24" s="577"/>
      <c r="H24" s="552">
        <v>-1</v>
      </c>
      <c r="I24" s="552">
        <v>1</v>
      </c>
      <c r="J24" s="548"/>
      <c r="K24" s="552">
        <v>-12</v>
      </c>
      <c r="L24" s="548"/>
      <c r="M24" s="548"/>
      <c r="N24" s="548"/>
      <c r="O24" s="548"/>
      <c r="P24" s="578"/>
      <c r="Q24" s="557" t="s">
        <v>9</v>
      </c>
      <c r="R24" s="561">
        <v>-10</v>
      </c>
      <c r="S24" s="548"/>
      <c r="T24" s="552"/>
      <c r="U24" s="548"/>
      <c r="V24" s="552">
        <v>-10</v>
      </c>
      <c r="W24" s="548"/>
      <c r="X24" s="556">
        <v>0.16666666666666663</v>
      </c>
      <c r="Y24" s="548"/>
      <c r="Z24" s="556">
        <v>0.16666666666666663</v>
      </c>
      <c r="AA24" s="548"/>
      <c r="AB24" s="548"/>
      <c r="AC24" s="898"/>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row>
    <row r="25" spans="1:144" ht="15" customHeight="1">
      <c r="A25" s="571"/>
      <c r="B25" s="185"/>
      <c r="C25" s="111"/>
      <c r="D25" s="557" t="s">
        <v>187</v>
      </c>
      <c r="E25" s="558">
        <v>10</v>
      </c>
      <c r="F25" s="548"/>
      <c r="G25" s="577"/>
      <c r="H25" s="552">
        <v>-2</v>
      </c>
      <c r="I25" s="552"/>
      <c r="J25" s="548"/>
      <c r="K25" s="552">
        <v>8</v>
      </c>
      <c r="L25" s="548"/>
      <c r="M25" s="548"/>
      <c r="N25" s="548"/>
      <c r="O25" s="548"/>
      <c r="P25" s="578"/>
      <c r="Q25" s="557" t="s">
        <v>187</v>
      </c>
      <c r="R25" s="558">
        <v>23</v>
      </c>
      <c r="S25" s="548"/>
      <c r="T25" s="552"/>
      <c r="U25" s="548"/>
      <c r="V25" s="552">
        <v>23</v>
      </c>
      <c r="W25" s="548"/>
      <c r="X25" s="556">
        <v>1.3</v>
      </c>
      <c r="Y25" s="548"/>
      <c r="Z25" s="556">
        <v>1.875</v>
      </c>
      <c r="AA25" s="548"/>
      <c r="AB25" s="548"/>
      <c r="AC25" s="898"/>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row>
    <row r="26" spans="1:144" ht="15" customHeight="1">
      <c r="A26" s="571"/>
      <c r="B26" s="185"/>
      <c r="C26" s="111"/>
      <c r="D26" s="619" t="s">
        <v>188</v>
      </c>
      <c r="E26" s="561">
        <v>-6</v>
      </c>
      <c r="F26" s="548"/>
      <c r="G26" s="577"/>
      <c r="H26" s="552"/>
      <c r="I26" s="552"/>
      <c r="J26" s="548"/>
      <c r="K26" s="552">
        <v>-6</v>
      </c>
      <c r="L26" s="548"/>
      <c r="M26" s="548"/>
      <c r="N26" s="548"/>
      <c r="O26" s="548"/>
      <c r="P26" s="578"/>
      <c r="Q26" s="619" t="s">
        <v>188</v>
      </c>
      <c r="R26" s="561">
        <v>0</v>
      </c>
      <c r="S26" s="548"/>
      <c r="T26" s="552"/>
      <c r="U26" s="548"/>
      <c r="V26" s="552">
        <v>0</v>
      </c>
      <c r="W26" s="548"/>
      <c r="X26" s="556"/>
      <c r="Y26" s="548"/>
      <c r="Z26" s="556"/>
      <c r="AA26" s="548"/>
      <c r="AB26" s="548"/>
      <c r="AC26" s="898"/>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row>
    <row r="27" spans="1:144" ht="15" customHeight="1">
      <c r="A27" s="571"/>
      <c r="B27" s="185"/>
      <c r="C27" s="111"/>
      <c r="D27" s="272" t="s">
        <v>10</v>
      </c>
      <c r="E27" s="273">
        <v>3295</v>
      </c>
      <c r="F27" s="579"/>
      <c r="G27" s="274">
        <v>1</v>
      </c>
      <c r="H27" s="275">
        <v>-16</v>
      </c>
      <c r="I27" s="275">
        <v>41</v>
      </c>
      <c r="J27" s="579"/>
      <c r="K27" s="275">
        <v>3321</v>
      </c>
      <c r="L27" s="548"/>
      <c r="M27" s="548"/>
      <c r="N27" s="548"/>
      <c r="O27" s="548"/>
      <c r="P27" s="578"/>
      <c r="Q27" s="272" t="s">
        <v>10</v>
      </c>
      <c r="R27" s="273">
        <v>3154</v>
      </c>
      <c r="S27" s="548"/>
      <c r="T27" s="275">
        <v>37</v>
      </c>
      <c r="U27" s="548"/>
      <c r="V27" s="275">
        <v>3191</v>
      </c>
      <c r="W27" s="548"/>
      <c r="X27" s="277">
        <v>-0.04279210925644916</v>
      </c>
      <c r="Y27" s="548"/>
      <c r="Z27" s="277">
        <v>-0.039144835892803376</v>
      </c>
      <c r="AA27" s="548"/>
      <c r="AB27" s="548"/>
      <c r="AC27" s="202"/>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row>
    <row r="28" spans="1:144" s="668" customFormat="1" ht="15" customHeight="1">
      <c r="A28" s="571"/>
      <c r="B28" s="185"/>
      <c r="C28" s="568"/>
      <c r="D28" s="581"/>
      <c r="E28" s="561"/>
      <c r="F28" s="548"/>
      <c r="G28" s="577"/>
      <c r="H28" s="577"/>
      <c r="I28" s="552"/>
      <c r="J28" s="548"/>
      <c r="K28" s="552"/>
      <c r="L28" s="548"/>
      <c r="M28" s="548"/>
      <c r="N28" s="548"/>
      <c r="O28" s="548"/>
      <c r="P28" s="578"/>
      <c r="Q28" s="581"/>
      <c r="R28" s="561"/>
      <c r="S28" s="573"/>
      <c r="T28" s="552"/>
      <c r="U28" s="573"/>
      <c r="V28" s="552"/>
      <c r="W28" s="582"/>
      <c r="X28" s="578"/>
      <c r="Y28" s="548"/>
      <c r="Z28" s="578"/>
      <c r="AA28" s="548"/>
      <c r="AB28" s="548"/>
      <c r="AC28" s="202"/>
      <c r="AD28" s="95"/>
      <c r="AE28" s="88"/>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row>
    <row r="29" spans="1:144" ht="15" customHeight="1">
      <c r="A29" s="571"/>
      <c r="B29" s="185"/>
      <c r="C29" s="111"/>
      <c r="D29" s="258" t="s">
        <v>67</v>
      </c>
      <c r="E29" s="583"/>
      <c r="F29" s="548"/>
      <c r="G29" s="577"/>
      <c r="H29" s="577"/>
      <c r="I29" s="552"/>
      <c r="J29" s="548"/>
      <c r="K29" s="552"/>
      <c r="L29" s="548"/>
      <c r="M29" s="548"/>
      <c r="N29" s="548"/>
      <c r="O29" s="548"/>
      <c r="P29" s="578"/>
      <c r="Q29" s="258" t="s">
        <v>67</v>
      </c>
      <c r="R29" s="583"/>
      <c r="S29" s="548"/>
      <c r="T29" s="552"/>
      <c r="U29" s="548"/>
      <c r="V29" s="552"/>
      <c r="W29" s="548"/>
      <c r="X29" s="578"/>
      <c r="Y29" s="548"/>
      <c r="Z29" s="578"/>
      <c r="AA29" s="548"/>
      <c r="AB29" s="548"/>
      <c r="AC29" s="202"/>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row>
    <row r="30" spans="1:144" ht="15" customHeight="1">
      <c r="A30" s="571"/>
      <c r="B30" s="185"/>
      <c r="C30" s="111"/>
      <c r="D30" s="542" t="s">
        <v>7</v>
      </c>
      <c r="E30" s="584">
        <v>0.4999205971097348</v>
      </c>
      <c r="F30" s="573"/>
      <c r="G30" s="585"/>
      <c r="H30" s="585"/>
      <c r="I30" s="544"/>
      <c r="J30" s="573"/>
      <c r="K30" s="586">
        <v>0.5043727142629989</v>
      </c>
      <c r="L30" s="548"/>
      <c r="M30" s="548"/>
      <c r="N30" s="548"/>
      <c r="O30" s="548"/>
      <c r="P30" s="578"/>
      <c r="Q30" s="542" t="s">
        <v>7</v>
      </c>
      <c r="R30" s="584">
        <v>0.4747878182725911</v>
      </c>
      <c r="S30" s="548"/>
      <c r="T30" s="544"/>
      <c r="U30" s="548"/>
      <c r="V30" s="586">
        <v>0.48077883175237146</v>
      </c>
      <c r="W30" s="548"/>
      <c r="X30" s="587">
        <v>-2.513277883714371</v>
      </c>
      <c r="Y30" s="548"/>
      <c r="Z30" s="587">
        <v>-2.359388251062744</v>
      </c>
      <c r="AA30" s="548"/>
      <c r="AB30" s="548"/>
      <c r="AC30" s="202"/>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row>
    <row r="31" spans="2:29" ht="15" customHeight="1">
      <c r="B31" s="185"/>
      <c r="C31" s="111"/>
      <c r="D31" s="557" t="s">
        <v>8</v>
      </c>
      <c r="E31" s="588">
        <v>0.00980392156862745</v>
      </c>
      <c r="F31" s="548"/>
      <c r="G31" s="577"/>
      <c r="H31" s="577"/>
      <c r="I31" s="552"/>
      <c r="J31" s="548"/>
      <c r="K31" s="589">
        <v>0.03305785123966942</v>
      </c>
      <c r="L31" s="548"/>
      <c r="M31" s="548"/>
      <c r="N31" s="548"/>
      <c r="O31" s="575"/>
      <c r="P31" s="548"/>
      <c r="Q31" s="557" t="s">
        <v>8</v>
      </c>
      <c r="R31" s="588">
        <v>0.09868421052631579</v>
      </c>
      <c r="S31" s="548"/>
      <c r="T31" s="552"/>
      <c r="U31" s="548"/>
      <c r="V31" s="589">
        <v>0.09868421052631579</v>
      </c>
      <c r="W31" s="548"/>
      <c r="X31" s="590">
        <v>8.888028895768835</v>
      </c>
      <c r="Y31" s="548"/>
      <c r="Z31" s="590">
        <v>6.562635928664637</v>
      </c>
      <c r="AA31" s="548"/>
      <c r="AB31" s="548"/>
      <c r="AC31" s="202"/>
    </row>
    <row r="32" spans="2:29" ht="15" customHeight="1">
      <c r="B32" s="185"/>
      <c r="C32" s="111"/>
      <c r="D32" s="557" t="s">
        <v>31</v>
      </c>
      <c r="E32" s="588">
        <v>0.2162485065710872</v>
      </c>
      <c r="F32" s="379"/>
      <c r="G32" s="280"/>
      <c r="H32" s="280"/>
      <c r="I32" s="383"/>
      <c r="J32" s="379"/>
      <c r="K32" s="589">
        <v>0.22617534942820838</v>
      </c>
      <c r="L32" s="379"/>
      <c r="M32" s="379"/>
      <c r="N32" s="379"/>
      <c r="O32" s="380"/>
      <c r="P32" s="379"/>
      <c r="Q32" s="557" t="s">
        <v>31</v>
      </c>
      <c r="R32" s="588">
        <v>0.24454545454545454</v>
      </c>
      <c r="S32" s="379"/>
      <c r="T32" s="383"/>
      <c r="U32" s="379"/>
      <c r="V32" s="589">
        <v>0.24454545454545454</v>
      </c>
      <c r="W32" s="379"/>
      <c r="X32" s="590">
        <v>2.8296947974367326</v>
      </c>
      <c r="Y32" s="379"/>
      <c r="Z32" s="590">
        <v>1.8370105117246154</v>
      </c>
      <c r="AA32" s="379"/>
      <c r="AB32" s="379"/>
      <c r="AC32" s="202"/>
    </row>
    <row r="33" spans="2:29" ht="15" customHeight="1">
      <c r="B33" s="185"/>
      <c r="C33" s="111"/>
      <c r="D33" s="557" t="s">
        <v>89</v>
      </c>
      <c r="E33" s="588">
        <v>-0.6363636363636364</v>
      </c>
      <c r="F33" s="379"/>
      <c r="G33" s="280"/>
      <c r="H33" s="280"/>
      <c r="I33" s="383"/>
      <c r="J33" s="379"/>
      <c r="K33" s="589">
        <v>-0.6136363636363636</v>
      </c>
      <c r="L33" s="379"/>
      <c r="M33" s="379"/>
      <c r="N33" s="379"/>
      <c r="O33" s="380"/>
      <c r="P33" s="379"/>
      <c r="Q33" s="557" t="s">
        <v>89</v>
      </c>
      <c r="R33" s="588">
        <v>-0.1896551724137931</v>
      </c>
      <c r="S33" s="379"/>
      <c r="T33" s="383"/>
      <c r="U33" s="379"/>
      <c r="V33" s="589">
        <v>-0.1724137931034483</v>
      </c>
      <c r="W33" s="379"/>
      <c r="X33" s="590">
        <v>44.67084639498432</v>
      </c>
      <c r="Y33" s="379"/>
      <c r="Z33" s="590">
        <v>44.122257053291534</v>
      </c>
      <c r="AA33" s="379"/>
      <c r="AB33" s="379"/>
      <c r="AC33" s="202"/>
    </row>
    <row r="34" spans="2:29" ht="15" customHeight="1">
      <c r="B34" s="185"/>
      <c r="C34" s="111"/>
      <c r="D34" s="557" t="s">
        <v>9</v>
      </c>
      <c r="E34" s="588">
        <v>-0.1276595744680851</v>
      </c>
      <c r="F34" s="379"/>
      <c r="G34" s="280"/>
      <c r="H34" s="280"/>
      <c r="I34" s="383"/>
      <c r="J34" s="379"/>
      <c r="K34" s="589">
        <v>-0.12903225806451613</v>
      </c>
      <c r="L34" s="379"/>
      <c r="M34" s="379"/>
      <c r="N34" s="379"/>
      <c r="O34" s="380"/>
      <c r="P34" s="379"/>
      <c r="Q34" s="557" t="s">
        <v>9</v>
      </c>
      <c r="R34" s="588">
        <v>-0.12048192771084337</v>
      </c>
      <c r="S34" s="379"/>
      <c r="T34" s="383"/>
      <c r="U34" s="379"/>
      <c r="V34" s="589">
        <v>-0.12048192771084337</v>
      </c>
      <c r="W34" s="379"/>
      <c r="X34" s="590">
        <v>0.7177646757241724</v>
      </c>
      <c r="Y34" s="379"/>
      <c r="Z34" s="590">
        <v>0.8550330353672753</v>
      </c>
      <c r="AA34" s="379"/>
      <c r="AB34" s="379"/>
      <c r="AC34" s="202"/>
    </row>
    <row r="35" spans="2:29" ht="12.75">
      <c r="B35" s="185"/>
      <c r="C35" s="111"/>
      <c r="D35" s="272" t="s">
        <v>10</v>
      </c>
      <c r="E35" s="281">
        <v>0.44039026998128844</v>
      </c>
      <c r="F35" s="592"/>
      <c r="G35" s="593"/>
      <c r="H35" s="593"/>
      <c r="I35" s="593"/>
      <c r="J35" s="592"/>
      <c r="K35" s="282">
        <v>0.44535335925975594</v>
      </c>
      <c r="L35" s="100"/>
      <c r="M35" s="100"/>
      <c r="N35" s="100"/>
      <c r="O35" s="595"/>
      <c r="P35" s="100"/>
      <c r="Q35" s="272" t="s">
        <v>10</v>
      </c>
      <c r="R35" s="281">
        <v>0.41830238726790453</v>
      </c>
      <c r="S35" s="100"/>
      <c r="T35" s="593"/>
      <c r="U35" s="100"/>
      <c r="V35" s="282">
        <v>0.42320954907161806</v>
      </c>
      <c r="W35" s="100"/>
      <c r="X35" s="596">
        <v>-2.208788271338391</v>
      </c>
      <c r="Y35" s="100"/>
      <c r="Z35" s="596">
        <v>-2.2143810188137882</v>
      </c>
      <c r="AA35" s="100"/>
      <c r="AB35" s="100"/>
      <c r="AC35" s="202"/>
    </row>
    <row r="36" spans="2:29" ht="6.75" customHeight="1">
      <c r="B36" s="185"/>
      <c r="C36" s="111"/>
      <c r="D36" s="283"/>
      <c r="E36" s="284"/>
      <c r="F36" s="100"/>
      <c r="G36" s="597"/>
      <c r="H36" s="597"/>
      <c r="I36" s="597"/>
      <c r="J36" s="100"/>
      <c r="K36" s="597"/>
      <c r="L36" s="100"/>
      <c r="M36" s="100"/>
      <c r="N36" s="100"/>
      <c r="O36" s="595"/>
      <c r="P36" s="100"/>
      <c r="Q36" s="283"/>
      <c r="R36" s="284"/>
      <c r="S36" s="100"/>
      <c r="T36" s="597"/>
      <c r="U36" s="100"/>
      <c r="V36" s="597"/>
      <c r="W36" s="100"/>
      <c r="X36" s="599"/>
      <c r="Y36" s="100"/>
      <c r="Z36" s="599"/>
      <c r="AA36" s="100"/>
      <c r="AB36" s="100"/>
      <c r="AC36" s="202"/>
    </row>
    <row r="37" spans="2:29" ht="15" customHeight="1">
      <c r="B37" s="185"/>
      <c r="C37" s="111"/>
      <c r="D37" s="258" t="s">
        <v>47</v>
      </c>
      <c r="E37" s="376"/>
      <c r="F37" s="234"/>
      <c r="G37" s="279"/>
      <c r="H37" s="279"/>
      <c r="I37" s="377"/>
      <c r="J37" s="234"/>
      <c r="K37" s="377"/>
      <c r="L37" s="234"/>
      <c r="M37" s="234"/>
      <c r="N37" s="234"/>
      <c r="O37" s="378"/>
      <c r="P37" s="234"/>
      <c r="Q37" s="258" t="s">
        <v>47</v>
      </c>
      <c r="R37" s="376"/>
      <c r="S37" s="234"/>
      <c r="T37" s="377"/>
      <c r="U37" s="234"/>
      <c r="V37" s="377"/>
      <c r="W37" s="234"/>
      <c r="X37" s="243"/>
      <c r="Y37" s="234"/>
      <c r="Z37" s="243"/>
      <c r="AA37" s="234"/>
      <c r="AB37" s="234"/>
      <c r="AC37" s="202"/>
    </row>
    <row r="38" spans="2:29" ht="15" customHeight="1">
      <c r="B38" s="185"/>
      <c r="C38" s="111"/>
      <c r="D38" s="542" t="s">
        <v>7</v>
      </c>
      <c r="E38" s="600">
        <v>2081</v>
      </c>
      <c r="F38" s="573"/>
      <c r="G38" s="544">
        <v>-5</v>
      </c>
      <c r="H38" s="544"/>
      <c r="I38" s="544">
        <v>-55</v>
      </c>
      <c r="J38" s="573"/>
      <c r="K38" s="544">
        <v>2021</v>
      </c>
      <c r="L38" s="548"/>
      <c r="M38" s="548"/>
      <c r="N38" s="548"/>
      <c r="O38" s="575"/>
      <c r="P38" s="548"/>
      <c r="Q38" s="542" t="s">
        <v>7</v>
      </c>
      <c r="R38" s="600">
        <v>1790</v>
      </c>
      <c r="S38" s="548"/>
      <c r="T38" s="544">
        <v>26</v>
      </c>
      <c r="U38" s="548"/>
      <c r="V38" s="544">
        <v>1816</v>
      </c>
      <c r="W38" s="548"/>
      <c r="X38" s="549">
        <v>-0.13983661701105243</v>
      </c>
      <c r="Y38" s="548"/>
      <c r="Z38" s="549">
        <v>-0.10143493320138541</v>
      </c>
      <c r="AA38" s="548"/>
      <c r="AB38" s="548"/>
      <c r="AC38" s="898"/>
    </row>
    <row r="39" spans="2:29" ht="15" customHeight="1">
      <c r="B39" s="185"/>
      <c r="C39" s="111"/>
      <c r="D39" s="557" t="s">
        <v>8</v>
      </c>
      <c r="E39" s="561">
        <v>-38</v>
      </c>
      <c r="F39" s="548"/>
      <c r="G39" s="552">
        <v>6</v>
      </c>
      <c r="H39" s="552"/>
      <c r="I39" s="552"/>
      <c r="J39" s="548"/>
      <c r="K39" s="552">
        <v>-32</v>
      </c>
      <c r="L39" s="548"/>
      <c r="M39" s="548"/>
      <c r="N39" s="548"/>
      <c r="O39" s="575"/>
      <c r="P39" s="548"/>
      <c r="Q39" s="557" t="s">
        <v>8</v>
      </c>
      <c r="R39" s="561">
        <v>-31</v>
      </c>
      <c r="S39" s="548"/>
      <c r="T39" s="552"/>
      <c r="U39" s="548"/>
      <c r="V39" s="552">
        <v>-31</v>
      </c>
      <c r="W39" s="548"/>
      <c r="X39" s="556">
        <v>0.1842105263157895</v>
      </c>
      <c r="Y39" s="548"/>
      <c r="Z39" s="556">
        <v>0.03125</v>
      </c>
      <c r="AA39" s="548"/>
      <c r="AB39" s="548"/>
      <c r="AC39" s="898"/>
    </row>
    <row r="40" spans="2:29" ht="15" customHeight="1">
      <c r="B40" s="185"/>
      <c r="C40" s="111"/>
      <c r="D40" s="557" t="s">
        <v>31</v>
      </c>
      <c r="E40" s="561">
        <v>-36</v>
      </c>
      <c r="F40" s="548"/>
      <c r="G40" s="577"/>
      <c r="H40" s="552">
        <v>-1</v>
      </c>
      <c r="I40" s="552">
        <v>9</v>
      </c>
      <c r="J40" s="548"/>
      <c r="K40" s="552">
        <v>-28</v>
      </c>
      <c r="L40" s="548"/>
      <c r="M40" s="548"/>
      <c r="N40" s="548"/>
      <c r="O40" s="575"/>
      <c r="P40" s="548"/>
      <c r="Q40" s="557" t="s">
        <v>31</v>
      </c>
      <c r="R40" s="561">
        <v>16</v>
      </c>
      <c r="S40" s="548"/>
      <c r="T40" s="552"/>
      <c r="U40" s="548"/>
      <c r="V40" s="552">
        <v>16</v>
      </c>
      <c r="W40" s="548"/>
      <c r="X40" s="556"/>
      <c r="Y40" s="548"/>
      <c r="Z40" s="556"/>
      <c r="AA40" s="548"/>
      <c r="AB40" s="548"/>
      <c r="AC40" s="898"/>
    </row>
    <row r="41" spans="2:29" ht="15" customHeight="1">
      <c r="B41" s="185"/>
      <c r="C41" s="111"/>
      <c r="D41" s="557" t="s">
        <v>89</v>
      </c>
      <c r="E41" s="561">
        <v>-41</v>
      </c>
      <c r="F41" s="548"/>
      <c r="G41" s="577"/>
      <c r="H41" s="552"/>
      <c r="I41" s="552">
        <v>1</v>
      </c>
      <c r="J41" s="548"/>
      <c r="K41" s="552">
        <v>-40</v>
      </c>
      <c r="L41" s="379"/>
      <c r="M41" s="379"/>
      <c r="N41" s="379"/>
      <c r="O41" s="380"/>
      <c r="P41" s="379"/>
      <c r="Q41" s="557" t="s">
        <v>89</v>
      </c>
      <c r="R41" s="561">
        <v>-26</v>
      </c>
      <c r="S41" s="548"/>
      <c r="T41" s="552">
        <v>1</v>
      </c>
      <c r="U41" s="548"/>
      <c r="V41" s="552">
        <v>-25</v>
      </c>
      <c r="W41" s="379"/>
      <c r="X41" s="556">
        <v>0.36585365853658536</v>
      </c>
      <c r="Y41" s="379"/>
      <c r="Z41" s="556">
        <v>0.375</v>
      </c>
      <c r="AA41" s="379"/>
      <c r="AB41" s="379"/>
      <c r="AC41" s="898"/>
    </row>
    <row r="42" spans="2:29" ht="15" customHeight="1">
      <c r="B42" s="185"/>
      <c r="C42" s="111"/>
      <c r="D42" s="557" t="s">
        <v>9</v>
      </c>
      <c r="E42" s="561">
        <v>-17</v>
      </c>
      <c r="F42" s="548"/>
      <c r="G42" s="577"/>
      <c r="H42" s="552">
        <v>-1</v>
      </c>
      <c r="I42" s="552">
        <v>1</v>
      </c>
      <c r="J42" s="548"/>
      <c r="K42" s="552">
        <v>-17</v>
      </c>
      <c r="L42" s="548"/>
      <c r="M42" s="548"/>
      <c r="N42" s="548"/>
      <c r="O42" s="575"/>
      <c r="P42" s="548"/>
      <c r="Q42" s="557" t="s">
        <v>9</v>
      </c>
      <c r="R42" s="561">
        <v>-14</v>
      </c>
      <c r="S42" s="548"/>
      <c r="T42" s="552"/>
      <c r="U42" s="548"/>
      <c r="V42" s="552">
        <v>-14</v>
      </c>
      <c r="W42" s="548"/>
      <c r="X42" s="556">
        <v>0.17647058823529416</v>
      </c>
      <c r="Y42" s="548"/>
      <c r="Z42" s="556">
        <v>0.17647058823529416</v>
      </c>
      <c r="AA42" s="548"/>
      <c r="AB42" s="548"/>
      <c r="AC42" s="898"/>
    </row>
    <row r="43" spans="2:29" ht="15" customHeight="1">
      <c r="B43" s="185"/>
      <c r="C43" s="111"/>
      <c r="D43" s="557" t="s">
        <v>187</v>
      </c>
      <c r="E43" s="561">
        <v>28</v>
      </c>
      <c r="F43" s="548"/>
      <c r="G43" s="577"/>
      <c r="H43" s="552">
        <v>-2</v>
      </c>
      <c r="I43" s="552">
        <v>-29</v>
      </c>
      <c r="J43" s="548"/>
      <c r="K43" s="552">
        <v>-3</v>
      </c>
      <c r="L43" s="548"/>
      <c r="M43" s="548"/>
      <c r="N43" s="548"/>
      <c r="O43" s="575"/>
      <c r="P43" s="548"/>
      <c r="Q43" s="557" t="s">
        <v>187</v>
      </c>
      <c r="R43" s="561">
        <v>15</v>
      </c>
      <c r="S43" s="548"/>
      <c r="T43" s="552"/>
      <c r="U43" s="548"/>
      <c r="V43" s="552">
        <v>15</v>
      </c>
      <c r="W43" s="548"/>
      <c r="X43" s="556">
        <v>-0.4642857142857143</v>
      </c>
      <c r="Y43" s="548"/>
      <c r="Z43" s="556"/>
      <c r="AA43" s="548"/>
      <c r="AB43" s="548"/>
      <c r="AC43" s="898"/>
    </row>
    <row r="44" spans="2:29" ht="15" customHeight="1">
      <c r="B44" s="185"/>
      <c r="C44" s="111"/>
      <c r="D44" s="557" t="s">
        <v>188</v>
      </c>
      <c r="E44" s="561">
        <v>7</v>
      </c>
      <c r="F44" s="548"/>
      <c r="G44" s="577"/>
      <c r="H44" s="552"/>
      <c r="I44" s="552">
        <v>2</v>
      </c>
      <c r="J44" s="548"/>
      <c r="K44" s="552">
        <v>9</v>
      </c>
      <c r="L44" s="548"/>
      <c r="M44" s="548"/>
      <c r="N44" s="548"/>
      <c r="O44" s="575"/>
      <c r="P44" s="548"/>
      <c r="Q44" s="557" t="s">
        <v>188</v>
      </c>
      <c r="R44" s="561">
        <v>13</v>
      </c>
      <c r="S44" s="548"/>
      <c r="T44" s="552"/>
      <c r="U44" s="548"/>
      <c r="V44" s="552">
        <v>13</v>
      </c>
      <c r="W44" s="548"/>
      <c r="X44" s="556"/>
      <c r="Y44" s="548"/>
      <c r="Z44" s="556"/>
      <c r="AA44" s="548"/>
      <c r="AB44" s="900"/>
      <c r="AC44" s="898"/>
    </row>
    <row r="45" spans="2:29" ht="15" customHeight="1">
      <c r="B45" s="185"/>
      <c r="C45" s="111"/>
      <c r="D45" s="272" t="s">
        <v>10</v>
      </c>
      <c r="E45" s="384">
        <v>1984</v>
      </c>
      <c r="F45" s="579"/>
      <c r="G45" s="274">
        <v>1</v>
      </c>
      <c r="H45" s="275">
        <v>-4</v>
      </c>
      <c r="I45" s="275">
        <v>-71</v>
      </c>
      <c r="J45" s="579"/>
      <c r="K45" s="275">
        <v>1910</v>
      </c>
      <c r="L45" s="548"/>
      <c r="M45" s="548"/>
      <c r="N45" s="548"/>
      <c r="O45" s="575"/>
      <c r="P45" s="548"/>
      <c r="Q45" s="272" t="s">
        <v>10</v>
      </c>
      <c r="R45" s="384">
        <v>1763</v>
      </c>
      <c r="S45" s="548"/>
      <c r="T45" s="275">
        <v>27</v>
      </c>
      <c r="U45" s="548"/>
      <c r="V45" s="275">
        <v>1790</v>
      </c>
      <c r="W45" s="548"/>
      <c r="X45" s="277">
        <v>-0.11139112903225812</v>
      </c>
      <c r="Y45" s="548"/>
      <c r="Z45" s="277">
        <v>-0.06282722513089001</v>
      </c>
      <c r="AA45" s="548"/>
      <c r="AB45" s="548"/>
      <c r="AC45" s="202"/>
    </row>
    <row r="46" spans="2:29" ht="9" customHeight="1">
      <c r="B46" s="185"/>
      <c r="C46" s="111"/>
      <c r="D46" s="581"/>
      <c r="E46" s="561"/>
      <c r="F46" s="548"/>
      <c r="G46" s="577"/>
      <c r="H46" s="577"/>
      <c r="I46" s="552"/>
      <c r="J46" s="548"/>
      <c r="K46" s="552"/>
      <c r="L46" s="548"/>
      <c r="M46" s="548"/>
      <c r="N46" s="548"/>
      <c r="O46" s="575"/>
      <c r="P46" s="548"/>
      <c r="Q46" s="581"/>
      <c r="R46" s="561"/>
      <c r="S46" s="548"/>
      <c r="T46" s="552"/>
      <c r="U46" s="548"/>
      <c r="V46" s="552"/>
      <c r="W46" s="548"/>
      <c r="X46" s="578"/>
      <c r="Y46" s="548"/>
      <c r="Z46" s="578"/>
      <c r="AA46" s="548"/>
      <c r="AB46" s="548"/>
      <c r="AC46" s="202"/>
    </row>
    <row r="47" spans="2:29" ht="15" customHeight="1">
      <c r="B47" s="185"/>
      <c r="C47" s="111"/>
      <c r="D47" s="258" t="s">
        <v>69</v>
      </c>
      <c r="E47" s="583"/>
      <c r="F47" s="548"/>
      <c r="G47" s="577"/>
      <c r="H47" s="577"/>
      <c r="I47" s="552"/>
      <c r="J47" s="548"/>
      <c r="K47" s="552"/>
      <c r="L47" s="548"/>
      <c r="M47" s="548"/>
      <c r="N47" s="548"/>
      <c r="O47" s="575"/>
      <c r="P47" s="548"/>
      <c r="Q47" s="258" t="s">
        <v>69</v>
      </c>
      <c r="R47" s="583"/>
      <c r="S47" s="548"/>
      <c r="T47" s="552"/>
      <c r="U47" s="548"/>
      <c r="V47" s="552"/>
      <c r="W47" s="548"/>
      <c r="X47" s="578"/>
      <c r="Y47" s="548"/>
      <c r="Z47" s="578"/>
      <c r="AA47" s="548"/>
      <c r="AB47" s="548"/>
      <c r="AC47" s="202"/>
    </row>
    <row r="48" spans="2:29" ht="15" customHeight="1">
      <c r="B48" s="185"/>
      <c r="C48" s="111"/>
      <c r="D48" s="542" t="s">
        <v>7</v>
      </c>
      <c r="E48" s="584">
        <v>0.3304748292837859</v>
      </c>
      <c r="F48" s="573"/>
      <c r="G48" s="585"/>
      <c r="H48" s="585"/>
      <c r="I48" s="544"/>
      <c r="J48" s="573"/>
      <c r="K48" s="586">
        <v>0.3213547463825727</v>
      </c>
      <c r="L48" s="548"/>
      <c r="M48" s="548"/>
      <c r="N48" s="548"/>
      <c r="O48" s="575"/>
      <c r="P48" s="548"/>
      <c r="Q48" s="542" t="s">
        <v>7</v>
      </c>
      <c r="R48" s="584">
        <v>0.29788650357796637</v>
      </c>
      <c r="S48" s="548"/>
      <c r="T48" s="544"/>
      <c r="U48" s="548"/>
      <c r="V48" s="586">
        <v>0.30221334664669663</v>
      </c>
      <c r="W48" s="548"/>
      <c r="X48" s="587">
        <v>-3.258832570581954</v>
      </c>
      <c r="Y48" s="548"/>
      <c r="Z48" s="587">
        <v>-1.9141399735876086</v>
      </c>
      <c r="AA48" s="548"/>
      <c r="AB48" s="548"/>
      <c r="AC48" s="202"/>
    </row>
    <row r="49" spans="2:29" ht="15" customHeight="1">
      <c r="B49" s="185"/>
      <c r="C49" s="111"/>
      <c r="D49" s="557" t="s">
        <v>8</v>
      </c>
      <c r="E49" s="588">
        <v>-0.18627450980392157</v>
      </c>
      <c r="F49" s="548"/>
      <c r="G49" s="577"/>
      <c r="H49" s="577"/>
      <c r="I49" s="552"/>
      <c r="J49" s="548"/>
      <c r="K49" s="589">
        <v>-0.1322314049586777</v>
      </c>
      <c r="L49" s="548"/>
      <c r="M49" s="548"/>
      <c r="N49" s="548"/>
      <c r="O49" s="575"/>
      <c r="P49" s="548"/>
      <c r="Q49" s="557" t="s">
        <v>8</v>
      </c>
      <c r="R49" s="588">
        <v>-0.10197368421052631</v>
      </c>
      <c r="S49" s="548"/>
      <c r="T49" s="552"/>
      <c r="U49" s="548"/>
      <c r="V49" s="589">
        <v>-0.10197368421052631</v>
      </c>
      <c r="W49" s="548"/>
      <c r="X49" s="590">
        <v>8.430082559339526</v>
      </c>
      <c r="Y49" s="548"/>
      <c r="Z49" s="590">
        <v>3.0257720748151375</v>
      </c>
      <c r="AA49" s="548"/>
      <c r="AB49" s="548"/>
      <c r="AC49" s="202"/>
    </row>
    <row r="50" spans="2:29" ht="15" customHeight="1">
      <c r="B50" s="185"/>
      <c r="C50" s="111"/>
      <c r="D50" s="557" t="s">
        <v>31</v>
      </c>
      <c r="E50" s="588">
        <v>-0.043010752688172046</v>
      </c>
      <c r="F50" s="548"/>
      <c r="G50" s="577"/>
      <c r="H50" s="577"/>
      <c r="I50" s="552"/>
      <c r="J50" s="548"/>
      <c r="K50" s="589">
        <v>-0.035578144853875476</v>
      </c>
      <c r="L50" s="548"/>
      <c r="M50" s="548"/>
      <c r="N50" s="548"/>
      <c r="O50" s="575"/>
      <c r="P50" s="548"/>
      <c r="Q50" s="557" t="s">
        <v>31</v>
      </c>
      <c r="R50" s="588">
        <v>0.014545454545454545</v>
      </c>
      <c r="S50" s="548"/>
      <c r="T50" s="552"/>
      <c r="U50" s="548"/>
      <c r="V50" s="589">
        <v>0.014545454545454545</v>
      </c>
      <c r="W50" s="548"/>
      <c r="X50" s="590">
        <v>5.755620723362659</v>
      </c>
      <c r="Y50" s="379"/>
      <c r="Z50" s="590">
        <v>5.012359939933002</v>
      </c>
      <c r="AA50" s="548"/>
      <c r="AB50" s="548"/>
      <c r="AC50" s="202"/>
    </row>
    <row r="51" spans="2:29" ht="15" customHeight="1">
      <c r="B51" s="185"/>
      <c r="C51" s="111"/>
      <c r="D51" s="557" t="s">
        <v>89</v>
      </c>
      <c r="E51" s="588">
        <v>-0.9318181818181818</v>
      </c>
      <c r="F51" s="548"/>
      <c r="G51" s="577"/>
      <c r="H51" s="577"/>
      <c r="I51" s="552"/>
      <c r="J51" s="548"/>
      <c r="K51" s="589">
        <v>-0.9090909090909091</v>
      </c>
      <c r="L51" s="548"/>
      <c r="M51" s="548"/>
      <c r="N51" s="548"/>
      <c r="O51" s="575"/>
      <c r="P51" s="548"/>
      <c r="Q51" s="557" t="s">
        <v>89</v>
      </c>
      <c r="R51" s="588">
        <v>-0.4482758620689655</v>
      </c>
      <c r="S51" s="548"/>
      <c r="T51" s="552"/>
      <c r="U51" s="548"/>
      <c r="V51" s="589">
        <v>-0.43103448275862066</v>
      </c>
      <c r="W51" s="548"/>
      <c r="X51" s="590">
        <v>48.354231974921625</v>
      </c>
      <c r="Y51" s="379"/>
      <c r="Z51" s="590">
        <v>47.80564263322884</v>
      </c>
      <c r="AA51" s="548"/>
      <c r="AB51" s="548"/>
      <c r="AC51" s="202"/>
    </row>
    <row r="52" spans="2:29" ht="15" customHeight="1">
      <c r="B52" s="185"/>
      <c r="C52" s="111"/>
      <c r="D52" s="557" t="s">
        <v>9</v>
      </c>
      <c r="E52" s="588">
        <v>-0.18085106382978725</v>
      </c>
      <c r="F52" s="548"/>
      <c r="G52" s="577"/>
      <c r="H52" s="577"/>
      <c r="I52" s="552"/>
      <c r="J52" s="548"/>
      <c r="K52" s="589">
        <v>-0.1827956989247312</v>
      </c>
      <c r="L52" s="548"/>
      <c r="M52" s="548"/>
      <c r="N52" s="548"/>
      <c r="O52" s="575"/>
      <c r="P52" s="548"/>
      <c r="Q52" s="557" t="s">
        <v>9</v>
      </c>
      <c r="R52" s="588">
        <v>-0.1686746987951807</v>
      </c>
      <c r="S52" s="548"/>
      <c r="T52" s="552"/>
      <c r="U52" s="548"/>
      <c r="V52" s="589">
        <v>-0.1686746987951807</v>
      </c>
      <c r="W52" s="548"/>
      <c r="X52" s="590">
        <v>1.2176365034606533</v>
      </c>
      <c r="Y52" s="379"/>
      <c r="Z52" s="590">
        <v>1.4121000129550476</v>
      </c>
      <c r="AA52" s="548"/>
      <c r="AB52" s="548"/>
      <c r="AC52" s="202"/>
    </row>
    <row r="53" spans="2:29" ht="15" customHeight="1">
      <c r="B53" s="185"/>
      <c r="C53" s="111"/>
      <c r="D53" s="272" t="s">
        <v>10</v>
      </c>
      <c r="E53" s="281">
        <v>0.2651697407110398</v>
      </c>
      <c r="F53" s="579"/>
      <c r="G53" s="602"/>
      <c r="H53" s="602"/>
      <c r="I53" s="562"/>
      <c r="J53" s="579"/>
      <c r="K53" s="282">
        <v>0.25613517500335253</v>
      </c>
      <c r="L53" s="548"/>
      <c r="M53" s="548"/>
      <c r="N53" s="548"/>
      <c r="O53" s="575"/>
      <c r="P53" s="548"/>
      <c r="Q53" s="272" t="s">
        <v>10</v>
      </c>
      <c r="R53" s="281">
        <v>0.23381962864721487</v>
      </c>
      <c r="S53" s="548"/>
      <c r="T53" s="562"/>
      <c r="U53" s="548"/>
      <c r="V53" s="282">
        <v>0.23740053050397877</v>
      </c>
      <c r="W53" s="548"/>
      <c r="X53" s="596">
        <v>-3.135011206382496</v>
      </c>
      <c r="Y53" s="100"/>
      <c r="Z53" s="596">
        <v>-1.873464449937376</v>
      </c>
      <c r="AA53" s="548"/>
      <c r="AB53" s="548"/>
      <c r="AC53" s="202"/>
    </row>
    <row r="54" spans="2:29" ht="15" customHeight="1" thickBot="1">
      <c r="B54" s="185"/>
      <c r="C54" s="111"/>
      <c r="D54" s="286"/>
      <c r="E54" s="385"/>
      <c r="F54" s="385"/>
      <c r="G54" s="287"/>
      <c r="H54" s="287"/>
      <c r="I54" s="385"/>
      <c r="J54" s="385"/>
      <c r="K54" s="385"/>
      <c r="L54" s="385"/>
      <c r="M54" s="385"/>
      <c r="N54" s="385"/>
      <c r="O54" s="386"/>
      <c r="P54" s="379"/>
      <c r="Q54" s="288"/>
      <c r="R54" s="387"/>
      <c r="S54" s="387"/>
      <c r="T54" s="387"/>
      <c r="U54" s="387"/>
      <c r="V54" s="289"/>
      <c r="W54" s="379"/>
      <c r="X54" s="388"/>
      <c r="Y54" s="379"/>
      <c r="Z54" s="388"/>
      <c r="AA54" s="379"/>
      <c r="AB54" s="379"/>
      <c r="AC54" s="202"/>
    </row>
    <row r="55" spans="2:29" ht="15" customHeight="1" thickTop="1">
      <c r="B55" s="185"/>
      <c r="C55" s="111"/>
      <c r="D55" s="1551" t="s">
        <v>200</v>
      </c>
      <c r="E55" s="1551"/>
      <c r="F55" s="1551"/>
      <c r="G55" s="1551"/>
      <c r="H55" s="1551"/>
      <c r="I55" s="1551"/>
      <c r="J55" s="1551"/>
      <c r="K55" s="1551"/>
      <c r="L55" s="1551"/>
      <c r="M55" s="1551"/>
      <c r="N55" s="1551"/>
      <c r="O55" s="1551"/>
      <c r="P55" s="1551"/>
      <c r="Q55" s="1551"/>
      <c r="R55" s="1551"/>
      <c r="S55" s="1551"/>
      <c r="T55" s="1551"/>
      <c r="U55" s="1551"/>
      <c r="V55" s="1551"/>
      <c r="W55" s="1551"/>
      <c r="X55" s="1551"/>
      <c r="Y55" s="1551"/>
      <c r="Z55" s="1551"/>
      <c r="AA55" s="379"/>
      <c r="AB55" s="379"/>
      <c r="AC55" s="202"/>
    </row>
    <row r="56" spans="2:29" ht="15" customHeight="1">
      <c r="B56" s="185"/>
      <c r="C56" s="111"/>
      <c r="D56" s="1551"/>
      <c r="E56" s="1551"/>
      <c r="F56" s="1551"/>
      <c r="G56" s="1551"/>
      <c r="H56" s="1551"/>
      <c r="I56" s="1551"/>
      <c r="J56" s="1551"/>
      <c r="K56" s="1551"/>
      <c r="L56" s="1551"/>
      <c r="M56" s="1551"/>
      <c r="N56" s="1551"/>
      <c r="O56" s="1551"/>
      <c r="P56" s="1551"/>
      <c r="Q56" s="1551"/>
      <c r="R56" s="1551"/>
      <c r="S56" s="1551"/>
      <c r="T56" s="1551"/>
      <c r="U56" s="1551"/>
      <c r="V56" s="1551"/>
      <c r="W56" s="1551"/>
      <c r="X56" s="1551"/>
      <c r="Y56" s="1551"/>
      <c r="Z56" s="1551"/>
      <c r="AA56" s="379"/>
      <c r="AB56" s="379"/>
      <c r="AC56" s="202"/>
    </row>
    <row r="57" spans="2:29" ht="15" customHeight="1">
      <c r="B57" s="185"/>
      <c r="C57" s="111"/>
      <c r="D57" s="1552" t="s">
        <v>195</v>
      </c>
      <c r="E57" s="1553"/>
      <c r="F57" s="1553"/>
      <c r="G57" s="1553"/>
      <c r="H57" s="1553"/>
      <c r="I57" s="903" t="s">
        <v>2</v>
      </c>
      <c r="J57" s="903"/>
      <c r="K57" s="904" t="s">
        <v>6</v>
      </c>
      <c r="L57" s="379"/>
      <c r="M57" s="379"/>
      <c r="N57" s="379"/>
      <c r="O57" s="379"/>
      <c r="P57" s="379"/>
      <c r="Q57" s="901" t="s">
        <v>196</v>
      </c>
      <c r="R57" s="902"/>
      <c r="S57" s="902"/>
      <c r="T57" s="902"/>
      <c r="U57" s="902"/>
      <c r="V57" s="903" t="s">
        <v>2</v>
      </c>
      <c r="W57" s="903"/>
      <c r="X57" s="904" t="s">
        <v>6</v>
      </c>
      <c r="Y57" s="379"/>
      <c r="Z57" s="379"/>
      <c r="AA57" s="379"/>
      <c r="AB57" s="379"/>
      <c r="AC57" s="202"/>
    </row>
    <row r="58" spans="2:29" s="97" customFormat="1" ht="15" customHeight="1">
      <c r="B58" s="441"/>
      <c r="C58" s="100"/>
      <c r="D58" s="667" t="s">
        <v>336</v>
      </c>
      <c r="E58" s="379"/>
      <c r="F58" s="379"/>
      <c r="G58" s="401"/>
      <c r="H58" s="401"/>
      <c r="I58" s="548">
        <v>25</v>
      </c>
      <c r="J58" s="548"/>
      <c r="K58" s="561">
        <v>37</v>
      </c>
      <c r="L58" s="379"/>
      <c r="M58" s="379"/>
      <c r="N58" s="379"/>
      <c r="O58" s="379"/>
      <c r="P58" s="379"/>
      <c r="Q58" s="667" t="s">
        <v>336</v>
      </c>
      <c r="R58" s="379"/>
      <c r="S58" s="379"/>
      <c r="T58" s="401"/>
      <c r="U58" s="401"/>
      <c r="V58" s="548">
        <v>25</v>
      </c>
      <c r="W58" s="548"/>
      <c r="X58" s="561">
        <v>37</v>
      </c>
      <c r="Y58" s="379"/>
      <c r="Z58" s="379"/>
      <c r="AA58" s="379"/>
      <c r="AB58" s="379"/>
      <c r="AC58" s="442"/>
    </row>
    <row r="59" spans="2:29" ht="15" customHeight="1">
      <c r="B59" s="185"/>
      <c r="C59" s="111"/>
      <c r="D59" s="617" t="s">
        <v>191</v>
      </c>
      <c r="E59" s="379"/>
      <c r="F59" s="379"/>
      <c r="G59" s="401"/>
      <c r="H59" s="401"/>
      <c r="I59" s="548">
        <v>9</v>
      </c>
      <c r="J59" s="548"/>
      <c r="K59" s="561"/>
      <c r="L59" s="379"/>
      <c r="M59" s="379"/>
      <c r="N59" s="379"/>
      <c r="O59" s="379"/>
      <c r="P59" s="379"/>
      <c r="Q59" s="617" t="s">
        <v>191</v>
      </c>
      <c r="R59" s="379"/>
      <c r="S59" s="379"/>
      <c r="T59" s="401"/>
      <c r="U59" s="401"/>
      <c r="V59" s="548">
        <v>9</v>
      </c>
      <c r="W59" s="548"/>
      <c r="X59" s="561"/>
      <c r="Y59" s="379"/>
      <c r="Z59" s="379"/>
      <c r="AA59" s="379"/>
      <c r="AB59" s="379"/>
      <c r="AC59" s="202"/>
    </row>
    <row r="60" spans="2:29" ht="15" customHeight="1">
      <c r="B60" s="185"/>
      <c r="C60" s="111"/>
      <c r="D60" s="617"/>
      <c r="E60" s="379"/>
      <c r="F60" s="379"/>
      <c r="G60" s="401"/>
      <c r="H60" s="401"/>
      <c r="I60" s="548"/>
      <c r="J60" s="548"/>
      <c r="K60" s="561"/>
      <c r="L60" s="379"/>
      <c r="M60" s="379"/>
      <c r="N60" s="379"/>
      <c r="O60" s="379"/>
      <c r="P60" s="379"/>
      <c r="Q60" s="617" t="s">
        <v>193</v>
      </c>
      <c r="R60" s="379"/>
      <c r="S60" s="379"/>
      <c r="T60" s="401"/>
      <c r="U60" s="401"/>
      <c r="V60" s="548">
        <v>-85</v>
      </c>
      <c r="W60" s="548"/>
      <c r="X60" s="561"/>
      <c r="Y60" s="379"/>
      <c r="Z60" s="379"/>
      <c r="AA60" s="379"/>
      <c r="AB60" s="379"/>
      <c r="AC60" s="202"/>
    </row>
    <row r="61" spans="2:31" ht="15" customHeight="1">
      <c r="B61" s="185"/>
      <c r="C61" s="111"/>
      <c r="D61" s="617"/>
      <c r="E61" s="379"/>
      <c r="F61" s="379"/>
      <c r="G61" s="401"/>
      <c r="H61" s="401"/>
      <c r="I61" s="548"/>
      <c r="J61" s="548"/>
      <c r="K61" s="561"/>
      <c r="L61" s="379"/>
      <c r="M61" s="379"/>
      <c r="N61" s="379"/>
      <c r="O61" s="379"/>
      <c r="P61" s="379"/>
      <c r="Q61" s="617" t="s">
        <v>194</v>
      </c>
      <c r="R61" s="379"/>
      <c r="S61" s="379"/>
      <c r="T61" s="401"/>
      <c r="U61" s="401"/>
      <c r="V61" s="548">
        <v>-27</v>
      </c>
      <c r="W61" s="548"/>
      <c r="X61" s="561">
        <v>-10</v>
      </c>
      <c r="Y61" s="379"/>
      <c r="Z61" s="379"/>
      <c r="AA61" s="379"/>
      <c r="AB61" s="379"/>
      <c r="AC61" s="202"/>
      <c r="AE61" s="92"/>
    </row>
    <row r="62" spans="2:31" ht="15" customHeight="1">
      <c r="B62" s="185"/>
      <c r="C62" s="111"/>
      <c r="D62" s="617" t="s">
        <v>192</v>
      </c>
      <c r="E62" s="379"/>
      <c r="F62" s="379"/>
      <c r="G62" s="401"/>
      <c r="H62" s="401"/>
      <c r="I62" s="548">
        <v>7</v>
      </c>
      <c r="J62" s="548"/>
      <c r="K62" s="561"/>
      <c r="L62" s="379"/>
      <c r="M62" s="379"/>
      <c r="N62" s="379"/>
      <c r="O62" s="379"/>
      <c r="P62" s="379"/>
      <c r="Q62" s="617" t="s">
        <v>192</v>
      </c>
      <c r="R62" s="379"/>
      <c r="S62" s="379"/>
      <c r="T62" s="401"/>
      <c r="U62" s="401"/>
      <c r="V62" s="548">
        <v>7</v>
      </c>
      <c r="W62" s="548"/>
      <c r="X62" s="561"/>
      <c r="Y62" s="379"/>
      <c r="Z62" s="379"/>
      <c r="AA62" s="379"/>
      <c r="AB62" s="379"/>
      <c r="AC62" s="202"/>
      <c r="AE62" s="92"/>
    </row>
    <row r="63" spans="2:31" ht="25.5" customHeight="1">
      <c r="B63" s="185"/>
      <c r="C63" s="111"/>
      <c r="D63" s="905" t="s">
        <v>139</v>
      </c>
      <c r="E63" s="402"/>
      <c r="F63" s="402"/>
      <c r="G63" s="403"/>
      <c r="H63" s="403"/>
      <c r="I63" s="402">
        <v>41</v>
      </c>
      <c r="J63" s="402"/>
      <c r="K63" s="384">
        <v>37</v>
      </c>
      <c r="L63" s="379"/>
      <c r="M63" s="379"/>
      <c r="N63" s="379"/>
      <c r="O63" s="379"/>
      <c r="P63" s="379"/>
      <c r="Q63" s="905" t="s">
        <v>139</v>
      </c>
      <c r="R63" s="402"/>
      <c r="S63" s="402"/>
      <c r="T63" s="403"/>
      <c r="U63" s="403"/>
      <c r="V63" s="402">
        <v>-71</v>
      </c>
      <c r="W63" s="402"/>
      <c r="X63" s="384">
        <v>27</v>
      </c>
      <c r="Y63" s="379"/>
      <c r="Z63" s="379"/>
      <c r="AA63" s="379"/>
      <c r="AB63" s="379"/>
      <c r="AC63" s="202"/>
      <c r="AE63" s="92"/>
    </row>
    <row r="64" spans="2:29" ht="12.75">
      <c r="B64" s="444"/>
      <c r="C64" s="112"/>
      <c r="D64" s="906"/>
      <c r="E64" s="907"/>
      <c r="F64" s="907"/>
      <c r="G64" s="908"/>
      <c r="H64" s="908"/>
      <c r="I64" s="907"/>
      <c r="J64" s="907"/>
      <c r="K64" s="907"/>
      <c r="L64" s="907"/>
      <c r="M64" s="907"/>
      <c r="N64" s="907"/>
      <c r="O64" s="907"/>
      <c r="P64" s="907"/>
      <c r="Q64" s="907"/>
      <c r="R64" s="907"/>
      <c r="S64" s="907"/>
      <c r="T64" s="907"/>
      <c r="U64" s="907"/>
      <c r="V64" s="907"/>
      <c r="W64" s="907"/>
      <c r="X64" s="907"/>
      <c r="Y64" s="907"/>
      <c r="Z64" s="907"/>
      <c r="AA64" s="907"/>
      <c r="AB64" s="907"/>
      <c r="AC64" s="445"/>
    </row>
    <row r="65" spans="2:29" ht="18.75" thickBot="1">
      <c r="B65" s="1537"/>
      <c r="C65" s="1538"/>
      <c r="D65" s="1538"/>
      <c r="E65" s="1538"/>
      <c r="F65" s="1538"/>
      <c r="G65" s="1538"/>
      <c r="H65" s="1538"/>
      <c r="I65" s="1538"/>
      <c r="J65" s="1538"/>
      <c r="K65" s="1538"/>
      <c r="L65" s="1538"/>
      <c r="M65" s="1538"/>
      <c r="N65" s="1538"/>
      <c r="O65" s="1538"/>
      <c r="P65" s="1538"/>
      <c r="Q65" s="1538"/>
      <c r="R65" s="1538"/>
      <c r="S65" s="1538"/>
      <c r="T65" s="1538"/>
      <c r="U65" s="1538"/>
      <c r="V65" s="1538"/>
      <c r="W65" s="1538"/>
      <c r="X65" s="1538"/>
      <c r="Y65" s="1538"/>
      <c r="Z65" s="1538"/>
      <c r="AA65" s="1538"/>
      <c r="AB65" s="1538"/>
      <c r="AC65" s="1539"/>
    </row>
    <row r="66" spans="2:29" ht="57" thickTop="1">
      <c r="B66" s="98"/>
      <c r="C66" s="240"/>
      <c r="D66" s="1487" t="s">
        <v>198</v>
      </c>
      <c r="E66" s="1470"/>
      <c r="F66" s="1470"/>
      <c r="G66" s="1470"/>
      <c r="H66" s="1470"/>
      <c r="I66" s="1470"/>
      <c r="J66" s="1470"/>
      <c r="K66" s="1470"/>
      <c r="L66" s="1470"/>
      <c r="M66" s="1470"/>
      <c r="N66" s="1470"/>
      <c r="O66" s="1471"/>
      <c r="P66" s="236"/>
      <c r="Q66" s="1487" t="s">
        <v>142</v>
      </c>
      <c r="R66" s="1470"/>
      <c r="S66" s="1470"/>
      <c r="T66" s="1470"/>
      <c r="U66" s="1470"/>
      <c r="V66" s="1471"/>
      <c r="W66" s="236"/>
      <c r="X66" s="244" t="s">
        <v>183</v>
      </c>
      <c r="Y66" s="246"/>
      <c r="Z66" s="244" t="s">
        <v>184</v>
      </c>
      <c r="AA66" s="246"/>
      <c r="AB66" s="244" t="s">
        <v>185</v>
      </c>
      <c r="AC66" s="99"/>
    </row>
    <row r="67" spans="2:29" ht="15.75">
      <c r="B67" s="369"/>
      <c r="C67" s="370"/>
      <c r="D67" s="1472"/>
      <c r="E67" s="1473"/>
      <c r="F67" s="1473"/>
      <c r="G67" s="1473"/>
      <c r="H67" s="1473"/>
      <c r="I67" s="1473"/>
      <c r="J67" s="1473"/>
      <c r="K67" s="1473"/>
      <c r="L67" s="1473"/>
      <c r="M67" s="1473"/>
      <c r="N67" s="1473"/>
      <c r="O67" s="1513"/>
      <c r="P67" s="237"/>
      <c r="Q67" s="1483"/>
      <c r="R67" s="1484"/>
      <c r="S67" s="107"/>
      <c r="T67" s="108"/>
      <c r="U67" s="107"/>
      <c r="V67" s="238"/>
      <c r="W67" s="237"/>
      <c r="X67" s="241"/>
      <c r="Y67" s="237"/>
      <c r="Z67" s="241"/>
      <c r="AA67" s="237"/>
      <c r="AB67" s="241"/>
      <c r="AC67" s="371"/>
    </row>
    <row r="68" spans="2:29" ht="39.75">
      <c r="B68" s="185"/>
      <c r="C68" s="111"/>
      <c r="D68" s="1485" t="s">
        <v>332</v>
      </c>
      <c r="E68" s="1486"/>
      <c r="F68" s="239"/>
      <c r="G68" s="1480" t="s">
        <v>177</v>
      </c>
      <c r="H68" s="1481"/>
      <c r="I68" s="1482"/>
      <c r="J68" s="239"/>
      <c r="K68" s="259" t="s">
        <v>180</v>
      </c>
      <c r="L68" s="110"/>
      <c r="M68" s="259" t="s">
        <v>178</v>
      </c>
      <c r="N68" s="239"/>
      <c r="O68" s="260" t="s">
        <v>209</v>
      </c>
      <c r="P68" s="239"/>
      <c r="Q68" s="1485" t="s">
        <v>179</v>
      </c>
      <c r="R68" s="1486"/>
      <c r="S68" s="239"/>
      <c r="T68" s="257" t="s">
        <v>215</v>
      </c>
      <c r="U68" s="239"/>
      <c r="V68" s="261" t="s">
        <v>189</v>
      </c>
      <c r="W68" s="239"/>
      <c r="X68" s="262" t="s">
        <v>186</v>
      </c>
      <c r="Y68" s="239"/>
      <c r="Z68" s="262" t="s">
        <v>181</v>
      </c>
      <c r="AA68" s="239"/>
      <c r="AB68" s="262" t="s">
        <v>182</v>
      </c>
      <c r="AC68" s="202"/>
    </row>
    <row r="69" spans="2:31" ht="15" customHeight="1">
      <c r="B69" s="441"/>
      <c r="C69" s="100"/>
      <c r="D69" s="541" t="s">
        <v>11</v>
      </c>
      <c r="E69" s="263"/>
      <c r="F69" s="110"/>
      <c r="G69" s="1517" t="s">
        <v>175</v>
      </c>
      <c r="H69" s="1517" t="s">
        <v>174</v>
      </c>
      <c r="I69" s="1517" t="s">
        <v>216</v>
      </c>
      <c r="J69" s="110"/>
      <c r="K69" s="267"/>
      <c r="L69" s="110"/>
      <c r="M69" s="267"/>
      <c r="N69" s="110"/>
      <c r="O69" s="268"/>
      <c r="P69" s="110"/>
      <c r="Q69" s="541"/>
      <c r="R69" s="263"/>
      <c r="S69" s="110"/>
      <c r="T69" s="897"/>
      <c r="U69" s="110"/>
      <c r="V69" s="267"/>
      <c r="W69" s="110"/>
      <c r="X69" s="242"/>
      <c r="Y69" s="110"/>
      <c r="Z69" s="242"/>
      <c r="AA69" s="110"/>
      <c r="AB69" s="242"/>
      <c r="AC69" s="442"/>
      <c r="AE69" s="97"/>
    </row>
    <row r="70" spans="2:31" ht="33" customHeight="1">
      <c r="B70" s="185"/>
      <c r="C70" s="111"/>
      <c r="D70" s="1519" t="s">
        <v>0</v>
      </c>
      <c r="E70" s="1520"/>
      <c r="F70" s="270"/>
      <c r="G70" s="1518"/>
      <c r="H70" s="1518"/>
      <c r="I70" s="1518"/>
      <c r="J70" s="270"/>
      <c r="K70" s="269"/>
      <c r="L70" s="270"/>
      <c r="M70" s="269"/>
      <c r="N70" s="270"/>
      <c r="O70" s="271"/>
      <c r="P70" s="234"/>
      <c r="Q70" s="1519" t="s">
        <v>0</v>
      </c>
      <c r="R70" s="1520"/>
      <c r="S70" s="234"/>
      <c r="T70" s="269"/>
      <c r="U70" s="234"/>
      <c r="V70" s="269"/>
      <c r="W70" s="234"/>
      <c r="X70" s="243"/>
      <c r="Y70" s="234"/>
      <c r="Z70" s="243"/>
      <c r="AA70" s="234"/>
      <c r="AB70" s="243"/>
      <c r="AC70" s="202"/>
      <c r="AE70" s="97"/>
    </row>
    <row r="71" spans="2:31" ht="15" customHeight="1">
      <c r="B71" s="185"/>
      <c r="C71" s="111"/>
      <c r="D71" s="542" t="s">
        <v>7</v>
      </c>
      <c r="E71" s="543">
        <v>6580</v>
      </c>
      <c r="F71" s="544"/>
      <c r="G71" s="544">
        <v>-3</v>
      </c>
      <c r="H71" s="544">
        <v>-5</v>
      </c>
      <c r="I71" s="544"/>
      <c r="J71" s="544"/>
      <c r="K71" s="546">
        <v>6572</v>
      </c>
      <c r="L71" s="544"/>
      <c r="M71" s="544">
        <v>111</v>
      </c>
      <c r="N71" s="544"/>
      <c r="O71" s="547">
        <v>6461</v>
      </c>
      <c r="P71" s="548"/>
      <c r="Q71" s="542" t="s">
        <v>7</v>
      </c>
      <c r="R71" s="543">
        <v>6173</v>
      </c>
      <c r="S71" s="548"/>
      <c r="T71" s="546"/>
      <c r="U71" s="548"/>
      <c r="V71" s="546">
        <v>6173</v>
      </c>
      <c r="W71" s="548"/>
      <c r="X71" s="549">
        <v>-0.06185410334346508</v>
      </c>
      <c r="Y71" s="548"/>
      <c r="Z71" s="549">
        <v>-0.06071211199026172</v>
      </c>
      <c r="AA71" s="548"/>
      <c r="AB71" s="549">
        <v>-0.04457514316669242</v>
      </c>
      <c r="AC71" s="898"/>
      <c r="AE71" s="97"/>
    </row>
    <row r="72" spans="2:31" ht="15" customHeight="1">
      <c r="B72" s="185"/>
      <c r="C72" s="111"/>
      <c r="D72" s="550" t="s">
        <v>145</v>
      </c>
      <c r="E72" s="551">
        <v>4313</v>
      </c>
      <c r="F72" s="552"/>
      <c r="G72" s="552">
        <v>-3</v>
      </c>
      <c r="H72" s="552">
        <v>-5</v>
      </c>
      <c r="I72" s="552"/>
      <c r="J72" s="552"/>
      <c r="K72" s="554">
        <v>4305</v>
      </c>
      <c r="L72" s="552"/>
      <c r="M72" s="552">
        <v>111</v>
      </c>
      <c r="N72" s="552"/>
      <c r="O72" s="555">
        <v>4194</v>
      </c>
      <c r="P72" s="548"/>
      <c r="Q72" s="550" t="s">
        <v>145</v>
      </c>
      <c r="R72" s="551">
        <v>3994</v>
      </c>
      <c r="S72" s="548"/>
      <c r="T72" s="554"/>
      <c r="U72" s="548"/>
      <c r="V72" s="554">
        <v>3994</v>
      </c>
      <c r="W72" s="548"/>
      <c r="X72" s="556">
        <v>-0.07396243913749134</v>
      </c>
      <c r="Y72" s="548"/>
      <c r="Z72" s="556">
        <v>-0.07224157955865274</v>
      </c>
      <c r="AA72" s="548"/>
      <c r="AB72" s="556">
        <v>-0.047687172150691515</v>
      </c>
      <c r="AC72" s="898"/>
      <c r="AE72" s="97"/>
    </row>
    <row r="73" spans="2:31" ht="15" customHeight="1">
      <c r="B73" s="185"/>
      <c r="C73" s="111"/>
      <c r="D73" s="550" t="s">
        <v>130</v>
      </c>
      <c r="E73" s="551">
        <v>2612</v>
      </c>
      <c r="F73" s="552"/>
      <c r="G73" s="552"/>
      <c r="H73" s="552"/>
      <c r="I73" s="552"/>
      <c r="J73" s="552"/>
      <c r="K73" s="554">
        <v>2612</v>
      </c>
      <c r="L73" s="552"/>
      <c r="M73" s="552"/>
      <c r="N73" s="552"/>
      <c r="O73" s="555"/>
      <c r="P73" s="548"/>
      <c r="Q73" s="550" t="s">
        <v>130</v>
      </c>
      <c r="R73" s="551">
        <v>2551</v>
      </c>
      <c r="S73" s="548"/>
      <c r="T73" s="554"/>
      <c r="U73" s="548"/>
      <c r="V73" s="554">
        <v>2551</v>
      </c>
      <c r="W73" s="548"/>
      <c r="X73" s="556">
        <v>-0.023353751914241938</v>
      </c>
      <c r="Y73" s="548"/>
      <c r="Z73" s="556">
        <v>-0.023353751914241938</v>
      </c>
      <c r="AA73" s="548"/>
      <c r="AB73" s="556"/>
      <c r="AC73" s="898"/>
      <c r="AE73" s="97"/>
    </row>
    <row r="74" spans="2:31" ht="15" customHeight="1">
      <c r="B74" s="185"/>
      <c r="C74" s="111"/>
      <c r="D74" s="557" t="s">
        <v>8</v>
      </c>
      <c r="E74" s="551">
        <v>223</v>
      </c>
      <c r="F74" s="552"/>
      <c r="G74" s="552">
        <v>116</v>
      </c>
      <c r="H74" s="552"/>
      <c r="I74" s="552"/>
      <c r="J74" s="552"/>
      <c r="K74" s="554">
        <v>339</v>
      </c>
      <c r="L74" s="552"/>
      <c r="M74" s="552"/>
      <c r="N74" s="552"/>
      <c r="O74" s="555"/>
      <c r="P74" s="548"/>
      <c r="Q74" s="557" t="s">
        <v>8</v>
      </c>
      <c r="R74" s="551">
        <v>391</v>
      </c>
      <c r="S74" s="548"/>
      <c r="T74" s="560"/>
      <c r="U74" s="548"/>
      <c r="V74" s="554">
        <v>391</v>
      </c>
      <c r="W74" s="548"/>
      <c r="X74" s="556">
        <v>0.7533632286995515</v>
      </c>
      <c r="Y74" s="548"/>
      <c r="Z74" s="556">
        <v>0.15339233038348077</v>
      </c>
      <c r="AA74" s="548"/>
      <c r="AB74" s="556"/>
      <c r="AC74" s="202"/>
      <c r="AE74" s="97"/>
    </row>
    <row r="75" spans="2:31" ht="15" customHeight="1">
      <c r="B75" s="185"/>
      <c r="C75" s="111"/>
      <c r="D75" s="557" t="s">
        <v>31</v>
      </c>
      <c r="E75" s="551">
        <v>885</v>
      </c>
      <c r="F75" s="552"/>
      <c r="G75" s="552"/>
      <c r="H75" s="552">
        <v>30</v>
      </c>
      <c r="I75" s="552"/>
      <c r="J75" s="552"/>
      <c r="K75" s="554">
        <v>915</v>
      </c>
      <c r="L75" s="552"/>
      <c r="M75" s="552"/>
      <c r="N75" s="552"/>
      <c r="O75" s="555"/>
      <c r="P75" s="548"/>
      <c r="Q75" s="557" t="s">
        <v>31</v>
      </c>
      <c r="R75" s="551">
        <v>1222</v>
      </c>
      <c r="S75" s="548"/>
      <c r="T75" s="560"/>
      <c r="U75" s="548"/>
      <c r="V75" s="554">
        <v>1222</v>
      </c>
      <c r="W75" s="548"/>
      <c r="X75" s="556">
        <v>0.38079096045197747</v>
      </c>
      <c r="Y75" s="548"/>
      <c r="Z75" s="556">
        <v>0.346</v>
      </c>
      <c r="AA75" s="548"/>
      <c r="AB75" s="556"/>
      <c r="AC75" s="202"/>
      <c r="AE75" s="97"/>
    </row>
    <row r="76" spans="2:31" ht="15" customHeight="1">
      <c r="B76" s="185"/>
      <c r="C76" s="111"/>
      <c r="D76" s="557" t="s">
        <v>89</v>
      </c>
      <c r="E76" s="551">
        <v>54</v>
      </c>
      <c r="F76" s="552"/>
      <c r="G76" s="552"/>
      <c r="H76" s="552"/>
      <c r="I76" s="552"/>
      <c r="J76" s="552"/>
      <c r="K76" s="554">
        <v>54</v>
      </c>
      <c r="L76" s="552"/>
      <c r="M76" s="552"/>
      <c r="N76" s="552"/>
      <c r="O76" s="555"/>
      <c r="P76" s="548"/>
      <c r="Q76" s="557" t="s">
        <v>89</v>
      </c>
      <c r="R76" s="551">
        <v>67</v>
      </c>
      <c r="S76" s="548"/>
      <c r="T76" s="560"/>
      <c r="U76" s="548"/>
      <c r="V76" s="554">
        <v>67</v>
      </c>
      <c r="W76" s="548"/>
      <c r="X76" s="556">
        <v>0.2407407407407407</v>
      </c>
      <c r="Y76" s="548"/>
      <c r="Z76" s="556">
        <v>0.2407407407407407</v>
      </c>
      <c r="AA76" s="548"/>
      <c r="AB76" s="556"/>
      <c r="AC76" s="202"/>
      <c r="AE76" s="97"/>
    </row>
    <row r="77" spans="2:31" ht="15" customHeight="1">
      <c r="B77" s="185"/>
      <c r="C77" s="111"/>
      <c r="D77" s="557" t="s">
        <v>9</v>
      </c>
      <c r="E77" s="551">
        <v>118</v>
      </c>
      <c r="F77" s="552"/>
      <c r="G77" s="552">
        <v>2</v>
      </c>
      <c r="H77" s="552">
        <v>-1</v>
      </c>
      <c r="I77" s="552"/>
      <c r="J77" s="552"/>
      <c r="K77" s="554">
        <v>119</v>
      </c>
      <c r="L77" s="552"/>
      <c r="M77" s="552"/>
      <c r="N77" s="552"/>
      <c r="O77" s="555"/>
      <c r="P77" s="548"/>
      <c r="Q77" s="557" t="s">
        <v>9</v>
      </c>
      <c r="R77" s="551">
        <v>109</v>
      </c>
      <c r="S77" s="548"/>
      <c r="T77" s="560"/>
      <c r="U77" s="548"/>
      <c r="V77" s="554">
        <v>109</v>
      </c>
      <c r="W77" s="548"/>
      <c r="X77" s="556">
        <v>-0.07627118644067798</v>
      </c>
      <c r="Y77" s="548"/>
      <c r="Z77" s="556">
        <v>-0.08403361344537819</v>
      </c>
      <c r="AA77" s="548"/>
      <c r="AB77" s="556"/>
      <c r="AC77" s="202"/>
      <c r="AE77" s="97"/>
    </row>
    <row r="78" spans="2:31" ht="15" customHeight="1">
      <c r="B78" s="185"/>
      <c r="C78" s="111"/>
      <c r="D78" s="557" t="s">
        <v>187</v>
      </c>
      <c r="E78" s="551">
        <v>60</v>
      </c>
      <c r="F78" s="552"/>
      <c r="G78" s="552"/>
      <c r="H78" s="552">
        <v>-3</v>
      </c>
      <c r="I78" s="552"/>
      <c r="J78" s="552"/>
      <c r="K78" s="554">
        <v>57</v>
      </c>
      <c r="L78" s="552"/>
      <c r="M78" s="552"/>
      <c r="N78" s="552"/>
      <c r="O78" s="555"/>
      <c r="P78" s="548"/>
      <c r="Q78" s="557" t="s">
        <v>187</v>
      </c>
      <c r="R78" s="551">
        <v>49</v>
      </c>
      <c r="S78" s="548"/>
      <c r="T78" s="560"/>
      <c r="U78" s="548"/>
      <c r="V78" s="554">
        <v>49</v>
      </c>
      <c r="W78" s="548"/>
      <c r="X78" s="556">
        <v>-0.18333333333333335</v>
      </c>
      <c r="Y78" s="548"/>
      <c r="Z78" s="556">
        <v>-0.14035087719298245</v>
      </c>
      <c r="AA78" s="548"/>
      <c r="AB78" s="556"/>
      <c r="AC78" s="202"/>
      <c r="AE78" s="97"/>
    </row>
    <row r="79" spans="2:31" ht="15" customHeight="1">
      <c r="B79" s="185"/>
      <c r="C79" s="111"/>
      <c r="D79" s="557" t="s">
        <v>188</v>
      </c>
      <c r="E79" s="551">
        <v>-67</v>
      </c>
      <c r="F79" s="552"/>
      <c r="G79" s="552">
        <v>-2</v>
      </c>
      <c r="H79" s="552"/>
      <c r="I79" s="552"/>
      <c r="J79" s="552"/>
      <c r="K79" s="554">
        <v>-69</v>
      </c>
      <c r="L79" s="552"/>
      <c r="M79" s="552"/>
      <c r="N79" s="552"/>
      <c r="O79" s="555"/>
      <c r="P79" s="548"/>
      <c r="Q79" s="557" t="s">
        <v>188</v>
      </c>
      <c r="R79" s="551">
        <v>-81</v>
      </c>
      <c r="S79" s="548"/>
      <c r="T79" s="560"/>
      <c r="U79" s="548"/>
      <c r="V79" s="554">
        <v>-81</v>
      </c>
      <c r="W79" s="548"/>
      <c r="X79" s="556"/>
      <c r="Y79" s="548"/>
      <c r="Z79" s="556"/>
      <c r="AA79" s="548"/>
      <c r="AB79" s="909"/>
      <c r="AC79" s="202"/>
      <c r="AE79" s="97"/>
    </row>
    <row r="80" spans="2:29" ht="13.5" thickBot="1">
      <c r="B80" s="185"/>
      <c r="C80" s="111"/>
      <c r="D80" s="272" t="s">
        <v>10</v>
      </c>
      <c r="E80" s="910">
        <v>7853</v>
      </c>
      <c r="F80" s="562"/>
      <c r="G80" s="275">
        <v>113</v>
      </c>
      <c r="H80" s="275">
        <v>21</v>
      </c>
      <c r="I80" s="562"/>
      <c r="J80" s="562"/>
      <c r="K80" s="274">
        <v>7987</v>
      </c>
      <c r="L80" s="552"/>
      <c r="M80" s="275">
        <v>111</v>
      </c>
      <c r="N80" s="552"/>
      <c r="O80" s="276">
        <v>7876</v>
      </c>
      <c r="P80" s="548"/>
      <c r="Q80" s="272" t="s">
        <v>10</v>
      </c>
      <c r="R80" s="910">
        <v>7930</v>
      </c>
      <c r="S80" s="548"/>
      <c r="T80" s="274"/>
      <c r="U80" s="548"/>
      <c r="V80" s="274">
        <v>7930</v>
      </c>
      <c r="W80" s="548"/>
      <c r="X80" s="277">
        <v>0.009805169998726493</v>
      </c>
      <c r="Y80" s="548"/>
      <c r="Z80" s="277">
        <v>-0.007136596970076403</v>
      </c>
      <c r="AA80" s="548"/>
      <c r="AB80" s="278">
        <v>0.006856272219400772</v>
      </c>
      <c r="AC80" s="202"/>
    </row>
    <row r="81" spans="2:29" ht="15" customHeight="1" thickTop="1">
      <c r="B81" s="185"/>
      <c r="C81" s="111"/>
      <c r="D81" s="564"/>
      <c r="E81" s="565"/>
      <c r="F81" s="548"/>
      <c r="G81" s="566"/>
      <c r="H81" s="566"/>
      <c r="I81" s="566"/>
      <c r="J81" s="548"/>
      <c r="K81" s="566"/>
      <c r="L81" s="111"/>
      <c r="M81" s="111"/>
      <c r="N81" s="100"/>
      <c r="O81" s="568"/>
      <c r="P81" s="100"/>
      <c r="Q81" s="564"/>
      <c r="R81" s="565"/>
      <c r="S81" s="548"/>
      <c r="T81" s="566"/>
      <c r="U81" s="548"/>
      <c r="V81" s="566"/>
      <c r="W81" s="100"/>
      <c r="X81" s="569"/>
      <c r="Y81" s="100"/>
      <c r="Z81" s="569"/>
      <c r="AA81" s="100"/>
      <c r="AB81" s="570"/>
      <c r="AC81" s="202"/>
    </row>
    <row r="82" spans="2:33" ht="15" customHeight="1">
      <c r="B82" s="185"/>
      <c r="C82" s="111"/>
      <c r="D82" s="258" t="s">
        <v>45</v>
      </c>
      <c r="E82" s="376"/>
      <c r="F82" s="234"/>
      <c r="G82" s="279"/>
      <c r="H82" s="279"/>
      <c r="I82" s="377"/>
      <c r="J82" s="234"/>
      <c r="K82" s="377"/>
      <c r="L82" s="234"/>
      <c r="M82" s="234"/>
      <c r="N82" s="234"/>
      <c r="O82" s="378"/>
      <c r="P82" s="234"/>
      <c r="Q82" s="258" t="s">
        <v>45</v>
      </c>
      <c r="R82" s="376"/>
      <c r="S82" s="234"/>
      <c r="T82" s="377"/>
      <c r="U82" s="234"/>
      <c r="V82" s="377"/>
      <c r="W82" s="234"/>
      <c r="X82" s="243"/>
      <c r="Y82" s="234"/>
      <c r="Z82" s="243"/>
      <c r="AA82" s="234"/>
      <c r="AB82" s="234"/>
      <c r="AC82" s="202"/>
      <c r="AD82" s="97"/>
      <c r="AF82" s="97"/>
      <c r="AG82" s="97"/>
    </row>
    <row r="83" spans="2:33" ht="15" customHeight="1">
      <c r="B83" s="185"/>
      <c r="C83" s="111"/>
      <c r="D83" s="542" t="s">
        <v>7</v>
      </c>
      <c r="E83" s="543">
        <v>3062</v>
      </c>
      <c r="F83" s="573"/>
      <c r="G83" s="544">
        <v>-3</v>
      </c>
      <c r="H83" s="544">
        <v>-1</v>
      </c>
      <c r="I83" s="544">
        <v>49</v>
      </c>
      <c r="J83" s="573"/>
      <c r="K83" s="544">
        <v>3107</v>
      </c>
      <c r="L83" s="548"/>
      <c r="M83" s="548"/>
      <c r="N83" s="548"/>
      <c r="O83" s="575"/>
      <c r="P83" s="548"/>
      <c r="Q83" s="542" t="s">
        <v>7</v>
      </c>
      <c r="R83" s="543">
        <v>2766</v>
      </c>
      <c r="S83" s="548"/>
      <c r="T83" s="544">
        <v>98</v>
      </c>
      <c r="U83" s="548"/>
      <c r="V83" s="544">
        <v>2864</v>
      </c>
      <c r="W83" s="548"/>
      <c r="X83" s="549">
        <v>-0.09666884389288044</v>
      </c>
      <c r="Y83" s="548"/>
      <c r="Z83" s="549">
        <v>-0.07821049243643385</v>
      </c>
      <c r="AA83" s="548"/>
      <c r="AB83" s="548"/>
      <c r="AC83" s="898"/>
      <c r="AD83" s="97"/>
      <c r="AF83" s="97"/>
      <c r="AG83" s="97"/>
    </row>
    <row r="84" spans="2:33" ht="15" customHeight="1">
      <c r="B84" s="185"/>
      <c r="C84" s="111"/>
      <c r="D84" s="557" t="s">
        <v>8</v>
      </c>
      <c r="E84" s="551">
        <v>12</v>
      </c>
      <c r="F84" s="548"/>
      <c r="G84" s="552">
        <v>14</v>
      </c>
      <c r="H84" s="552"/>
      <c r="I84" s="552"/>
      <c r="J84" s="548"/>
      <c r="K84" s="552">
        <v>26</v>
      </c>
      <c r="L84" s="548"/>
      <c r="M84" s="548"/>
      <c r="N84" s="548"/>
      <c r="O84" s="575"/>
      <c r="P84" s="548"/>
      <c r="Q84" s="557" t="s">
        <v>8</v>
      </c>
      <c r="R84" s="551">
        <v>58</v>
      </c>
      <c r="S84" s="548"/>
      <c r="T84" s="552">
        <v>2</v>
      </c>
      <c r="U84" s="548"/>
      <c r="V84" s="552">
        <v>60</v>
      </c>
      <c r="W84" s="548"/>
      <c r="X84" s="556">
        <v>3.833333333333333</v>
      </c>
      <c r="Y84" s="548"/>
      <c r="Z84" s="556">
        <v>1.3076923076923075</v>
      </c>
      <c r="AA84" s="548"/>
      <c r="AB84" s="548"/>
      <c r="AC84" s="898"/>
      <c r="AD84" s="97"/>
      <c r="AF84" s="97"/>
      <c r="AG84" s="97"/>
    </row>
    <row r="85" spans="2:33" ht="15" customHeight="1">
      <c r="B85" s="185"/>
      <c r="C85" s="111"/>
      <c r="D85" s="557" t="s">
        <v>31</v>
      </c>
      <c r="E85" s="551">
        <v>173</v>
      </c>
      <c r="F85" s="548"/>
      <c r="G85" s="552"/>
      <c r="H85" s="552">
        <v>7</v>
      </c>
      <c r="I85" s="552"/>
      <c r="J85" s="548"/>
      <c r="K85" s="552">
        <v>180</v>
      </c>
      <c r="L85" s="548"/>
      <c r="M85" s="548"/>
      <c r="N85" s="548"/>
      <c r="O85" s="575"/>
      <c r="P85" s="548"/>
      <c r="Q85" s="557" t="s">
        <v>31</v>
      </c>
      <c r="R85" s="551">
        <v>316</v>
      </c>
      <c r="S85" s="548"/>
      <c r="T85" s="552"/>
      <c r="U85" s="548"/>
      <c r="V85" s="552">
        <v>316</v>
      </c>
      <c r="W85" s="548"/>
      <c r="X85" s="556">
        <v>0.8265895953757225</v>
      </c>
      <c r="Y85" s="548"/>
      <c r="Z85" s="556">
        <v>0.774</v>
      </c>
      <c r="AA85" s="548"/>
      <c r="AB85" s="548"/>
      <c r="AC85" s="898"/>
      <c r="AD85" s="97"/>
      <c r="AF85" s="97"/>
      <c r="AG85" s="97"/>
    </row>
    <row r="86" spans="2:33" ht="15" customHeight="1">
      <c r="B86" s="185"/>
      <c r="C86" s="111"/>
      <c r="D86" s="557" t="s">
        <v>89</v>
      </c>
      <c r="E86" s="551">
        <v>-24</v>
      </c>
      <c r="F86" s="548"/>
      <c r="G86" s="552"/>
      <c r="H86" s="552"/>
      <c r="I86" s="552">
        <v>3</v>
      </c>
      <c r="J86" s="548"/>
      <c r="K86" s="552">
        <v>-21</v>
      </c>
      <c r="L86" s="379"/>
      <c r="M86" s="379"/>
      <c r="N86" s="379"/>
      <c r="O86" s="380"/>
      <c r="P86" s="379"/>
      <c r="Q86" s="557" t="s">
        <v>89</v>
      </c>
      <c r="R86" s="551">
        <v>-10</v>
      </c>
      <c r="S86" s="548"/>
      <c r="T86" s="552"/>
      <c r="U86" s="548"/>
      <c r="V86" s="552">
        <v>-10</v>
      </c>
      <c r="W86" s="379"/>
      <c r="X86" s="556">
        <v>0.5833333333333333</v>
      </c>
      <c r="Y86" s="379"/>
      <c r="Z86" s="556">
        <v>0.5238095238095238</v>
      </c>
      <c r="AA86" s="379"/>
      <c r="AB86" s="379"/>
      <c r="AC86" s="898"/>
      <c r="AD86" s="97"/>
      <c r="AF86" s="97"/>
      <c r="AG86" s="97"/>
    </row>
    <row r="87" spans="2:33" ht="15" customHeight="1">
      <c r="B87" s="185"/>
      <c r="C87" s="111"/>
      <c r="D87" s="557" t="s">
        <v>9</v>
      </c>
      <c r="E87" s="551">
        <v>-14</v>
      </c>
      <c r="F87" s="548"/>
      <c r="G87" s="552">
        <v>1</v>
      </c>
      <c r="H87" s="552">
        <v>-1</v>
      </c>
      <c r="I87" s="552">
        <v>6</v>
      </c>
      <c r="J87" s="548"/>
      <c r="K87" s="552">
        <v>-8</v>
      </c>
      <c r="L87" s="548"/>
      <c r="M87" s="548"/>
      <c r="N87" s="548"/>
      <c r="O87" s="575"/>
      <c r="P87" s="548"/>
      <c r="Q87" s="557" t="s">
        <v>9</v>
      </c>
      <c r="R87" s="551">
        <v>-7</v>
      </c>
      <c r="S87" s="548"/>
      <c r="T87" s="552"/>
      <c r="U87" s="548"/>
      <c r="V87" s="552">
        <v>-7</v>
      </c>
      <c r="W87" s="548"/>
      <c r="X87" s="556">
        <v>0.5</v>
      </c>
      <c r="Y87" s="548"/>
      <c r="Z87" s="556">
        <v>0.125</v>
      </c>
      <c r="AA87" s="548"/>
      <c r="AB87" s="548"/>
      <c r="AC87" s="898"/>
      <c r="AD87" s="97"/>
      <c r="AF87" s="97"/>
      <c r="AG87" s="97"/>
    </row>
    <row r="88" spans="2:33" ht="15" customHeight="1">
      <c r="B88" s="185"/>
      <c r="C88" s="111"/>
      <c r="D88" s="557" t="s">
        <v>187</v>
      </c>
      <c r="E88" s="551">
        <v>11</v>
      </c>
      <c r="F88" s="548"/>
      <c r="G88" s="552"/>
      <c r="H88" s="552">
        <v>-2</v>
      </c>
      <c r="I88" s="552">
        <v>1</v>
      </c>
      <c r="J88" s="548"/>
      <c r="K88" s="552">
        <v>10</v>
      </c>
      <c r="L88" s="548"/>
      <c r="M88" s="548"/>
      <c r="N88" s="548"/>
      <c r="O88" s="575"/>
      <c r="P88" s="548"/>
      <c r="Q88" s="557" t="s">
        <v>187</v>
      </c>
      <c r="R88" s="551">
        <v>18</v>
      </c>
      <c r="S88" s="548"/>
      <c r="T88" s="552"/>
      <c r="U88" s="548"/>
      <c r="V88" s="552">
        <v>18</v>
      </c>
      <c r="W88" s="548"/>
      <c r="X88" s="556">
        <v>0.6363636363636365</v>
      </c>
      <c r="Y88" s="548"/>
      <c r="Z88" s="556">
        <v>0.8</v>
      </c>
      <c r="AA88" s="548"/>
      <c r="AB88" s="548"/>
      <c r="AC88" s="898"/>
      <c r="AD88" s="97"/>
      <c r="AF88" s="97"/>
      <c r="AG88" s="97"/>
    </row>
    <row r="89" spans="2:33" ht="15" customHeight="1">
      <c r="B89" s="185"/>
      <c r="C89" s="111"/>
      <c r="D89" s="619" t="s">
        <v>188</v>
      </c>
      <c r="E89" s="558">
        <v>3</v>
      </c>
      <c r="F89" s="548"/>
      <c r="G89" s="552"/>
      <c r="H89" s="552"/>
      <c r="I89" s="552"/>
      <c r="J89" s="548"/>
      <c r="K89" s="552">
        <v>3</v>
      </c>
      <c r="L89" s="548"/>
      <c r="M89" s="548"/>
      <c r="N89" s="548"/>
      <c r="O89" s="548"/>
      <c r="P89" s="578"/>
      <c r="Q89" s="619" t="s">
        <v>188</v>
      </c>
      <c r="R89" s="558">
        <v>-1</v>
      </c>
      <c r="S89" s="548"/>
      <c r="T89" s="552">
        <v>1</v>
      </c>
      <c r="U89" s="548"/>
      <c r="V89" s="552">
        <v>0</v>
      </c>
      <c r="W89" s="548"/>
      <c r="X89" s="556"/>
      <c r="Y89" s="548"/>
      <c r="Z89" s="556"/>
      <c r="AA89" s="548"/>
      <c r="AB89" s="548"/>
      <c r="AC89" s="898"/>
      <c r="AD89" s="97"/>
      <c r="AF89" s="97"/>
      <c r="AG89" s="97"/>
    </row>
    <row r="90" spans="2:33" ht="15" customHeight="1">
      <c r="B90" s="185"/>
      <c r="C90" s="111"/>
      <c r="D90" s="272" t="s">
        <v>10</v>
      </c>
      <c r="E90" s="910">
        <v>3223</v>
      </c>
      <c r="F90" s="579"/>
      <c r="G90" s="275">
        <v>12</v>
      </c>
      <c r="H90" s="275">
        <v>3</v>
      </c>
      <c r="I90" s="275">
        <v>59</v>
      </c>
      <c r="J90" s="579"/>
      <c r="K90" s="275">
        <v>3297</v>
      </c>
      <c r="L90" s="548"/>
      <c r="M90" s="548"/>
      <c r="N90" s="548"/>
      <c r="O90" s="548"/>
      <c r="P90" s="578"/>
      <c r="Q90" s="272" t="s">
        <v>10</v>
      </c>
      <c r="R90" s="910">
        <v>3140</v>
      </c>
      <c r="S90" s="548"/>
      <c r="T90" s="275">
        <v>101</v>
      </c>
      <c r="U90" s="548"/>
      <c r="V90" s="275">
        <v>3241</v>
      </c>
      <c r="W90" s="548"/>
      <c r="X90" s="277">
        <v>-0.025752404591995015</v>
      </c>
      <c r="Y90" s="548"/>
      <c r="Z90" s="277">
        <v>-0.01698513800424628</v>
      </c>
      <c r="AA90" s="548"/>
      <c r="AB90" s="548"/>
      <c r="AC90" s="202"/>
      <c r="AD90" s="97"/>
      <c r="AF90" s="97"/>
      <c r="AG90" s="97"/>
    </row>
    <row r="91" spans="2:33" ht="15" customHeight="1">
      <c r="B91" s="111"/>
      <c r="C91" s="568"/>
      <c r="D91" s="581"/>
      <c r="E91" s="561"/>
      <c r="F91" s="548"/>
      <c r="G91" s="577"/>
      <c r="H91" s="577"/>
      <c r="I91" s="552"/>
      <c r="J91" s="548"/>
      <c r="K91" s="552"/>
      <c r="L91" s="548"/>
      <c r="M91" s="548"/>
      <c r="N91" s="548"/>
      <c r="O91" s="548"/>
      <c r="P91" s="578"/>
      <c r="Q91" s="581"/>
      <c r="R91" s="561"/>
      <c r="S91" s="573"/>
      <c r="T91" s="552"/>
      <c r="U91" s="573"/>
      <c r="V91" s="552"/>
      <c r="W91" s="582"/>
      <c r="X91" s="578"/>
      <c r="Y91" s="548"/>
      <c r="Z91" s="578"/>
      <c r="AA91" s="548"/>
      <c r="AB91" s="548"/>
      <c r="AC91" s="202"/>
      <c r="AD91" s="97"/>
      <c r="AF91" s="97"/>
      <c r="AG91" s="97"/>
    </row>
    <row r="92" spans="2:33" ht="15" customHeight="1">
      <c r="B92" s="185"/>
      <c r="C92" s="111"/>
      <c r="D92" s="258" t="s">
        <v>67</v>
      </c>
      <c r="E92" s="583"/>
      <c r="F92" s="548"/>
      <c r="G92" s="577"/>
      <c r="H92" s="577"/>
      <c r="I92" s="552"/>
      <c r="J92" s="548"/>
      <c r="K92" s="552"/>
      <c r="L92" s="548"/>
      <c r="M92" s="548"/>
      <c r="N92" s="548"/>
      <c r="O92" s="548"/>
      <c r="P92" s="578"/>
      <c r="Q92" s="258" t="s">
        <v>67</v>
      </c>
      <c r="R92" s="583"/>
      <c r="S92" s="548"/>
      <c r="T92" s="552"/>
      <c r="U92" s="548"/>
      <c r="V92" s="552"/>
      <c r="W92" s="548"/>
      <c r="X92" s="578"/>
      <c r="Y92" s="548"/>
      <c r="Z92" s="578"/>
      <c r="AA92" s="548"/>
      <c r="AB92" s="548"/>
      <c r="AC92" s="202"/>
      <c r="AD92" s="97"/>
      <c r="AF92" s="97"/>
      <c r="AG92" s="97"/>
    </row>
    <row r="93" spans="2:29" ht="12.75">
      <c r="B93" s="185"/>
      <c r="C93" s="111"/>
      <c r="D93" s="542" t="s">
        <v>7</v>
      </c>
      <c r="E93" s="584">
        <v>0.4653495440729483</v>
      </c>
      <c r="F93" s="573"/>
      <c r="G93" s="585"/>
      <c r="H93" s="585"/>
      <c r="I93" s="544"/>
      <c r="J93" s="573"/>
      <c r="K93" s="586">
        <v>0.47276323797930614</v>
      </c>
      <c r="L93" s="548"/>
      <c r="M93" s="548"/>
      <c r="N93" s="548"/>
      <c r="O93" s="548"/>
      <c r="P93" s="578"/>
      <c r="Q93" s="542" t="s">
        <v>7</v>
      </c>
      <c r="R93" s="584">
        <v>0.44808034991090234</v>
      </c>
      <c r="S93" s="548"/>
      <c r="T93" s="544"/>
      <c r="U93" s="548"/>
      <c r="V93" s="586">
        <v>0.4639559371456342</v>
      </c>
      <c r="W93" s="548"/>
      <c r="X93" s="587">
        <v>-1.7269194162045975</v>
      </c>
      <c r="Y93" s="548"/>
      <c r="Z93" s="587">
        <v>-0.8807300833671927</v>
      </c>
      <c r="AA93" s="548"/>
      <c r="AB93" s="548"/>
      <c r="AC93" s="202"/>
    </row>
    <row r="94" spans="2:29" ht="15" customHeight="1">
      <c r="B94" s="185"/>
      <c r="C94" s="111"/>
      <c r="D94" s="557" t="s">
        <v>8</v>
      </c>
      <c r="E94" s="588">
        <v>0.053811659192825115</v>
      </c>
      <c r="F94" s="548"/>
      <c r="G94" s="577"/>
      <c r="H94" s="577"/>
      <c r="I94" s="552"/>
      <c r="J94" s="548"/>
      <c r="K94" s="589">
        <v>0.07669616519174041</v>
      </c>
      <c r="L94" s="548"/>
      <c r="M94" s="548"/>
      <c r="N94" s="548"/>
      <c r="O94" s="548"/>
      <c r="P94" s="578"/>
      <c r="Q94" s="557" t="s">
        <v>8</v>
      </c>
      <c r="R94" s="588">
        <v>0.1483375959079284</v>
      </c>
      <c r="S94" s="548"/>
      <c r="T94" s="552"/>
      <c r="U94" s="548"/>
      <c r="V94" s="589">
        <v>0.1534526854219949</v>
      </c>
      <c r="W94" s="548"/>
      <c r="X94" s="590">
        <v>9.452593671510327</v>
      </c>
      <c r="Y94" s="548"/>
      <c r="Z94" s="590">
        <v>7.675652023025448</v>
      </c>
      <c r="AA94" s="548"/>
      <c r="AB94" s="548"/>
      <c r="AC94" s="202"/>
    </row>
    <row r="95" spans="2:29" ht="15" customHeight="1">
      <c r="B95" s="185"/>
      <c r="C95" s="111"/>
      <c r="D95" s="557" t="s">
        <v>31</v>
      </c>
      <c r="E95" s="588">
        <v>0.19548022598870057</v>
      </c>
      <c r="F95" s="379"/>
      <c r="G95" s="280"/>
      <c r="H95" s="280"/>
      <c r="I95" s="383"/>
      <c r="J95" s="379"/>
      <c r="K95" s="589">
        <v>0.19672131147540983</v>
      </c>
      <c r="L95" s="379"/>
      <c r="M95" s="379"/>
      <c r="N95" s="379"/>
      <c r="O95" s="380"/>
      <c r="P95" s="379"/>
      <c r="Q95" s="557" t="s">
        <v>31</v>
      </c>
      <c r="R95" s="588">
        <v>0.25859247135842883</v>
      </c>
      <c r="S95" s="379"/>
      <c r="T95" s="383"/>
      <c r="U95" s="379"/>
      <c r="V95" s="589">
        <v>0.25859247135842883</v>
      </c>
      <c r="W95" s="379"/>
      <c r="X95" s="590">
        <v>6.311224536972826</v>
      </c>
      <c r="Y95" s="379"/>
      <c r="Z95" s="590">
        <v>6.1871159883019</v>
      </c>
      <c r="AA95" s="379"/>
      <c r="AB95" s="379"/>
      <c r="AC95" s="202"/>
    </row>
    <row r="96" spans="2:29" ht="12.75">
      <c r="B96" s="185"/>
      <c r="C96" s="111"/>
      <c r="D96" s="557" t="s">
        <v>89</v>
      </c>
      <c r="E96" s="588">
        <v>-0.4444444444444444</v>
      </c>
      <c r="F96" s="379"/>
      <c r="G96" s="280"/>
      <c r="H96" s="280"/>
      <c r="I96" s="383"/>
      <c r="J96" s="379"/>
      <c r="K96" s="589">
        <v>-0.3888888888888889</v>
      </c>
      <c r="L96" s="379"/>
      <c r="M96" s="379"/>
      <c r="N96" s="379"/>
      <c r="O96" s="380"/>
      <c r="P96" s="379"/>
      <c r="Q96" s="557" t="s">
        <v>89</v>
      </c>
      <c r="R96" s="588">
        <v>-0.14925373134328357</v>
      </c>
      <c r="S96" s="379"/>
      <c r="T96" s="383"/>
      <c r="U96" s="379"/>
      <c r="V96" s="589">
        <v>-0.14925373134328357</v>
      </c>
      <c r="W96" s="379"/>
      <c r="X96" s="590">
        <v>29.519071310116086</v>
      </c>
      <c r="Y96" s="379"/>
      <c r="Z96" s="590">
        <v>23.963515754560532</v>
      </c>
      <c r="AA96" s="379"/>
      <c r="AB96" s="379"/>
      <c r="AC96" s="202"/>
    </row>
    <row r="97" spans="2:29" ht="12.75">
      <c r="B97" s="185"/>
      <c r="C97" s="111"/>
      <c r="D97" s="557" t="s">
        <v>9</v>
      </c>
      <c r="E97" s="588">
        <v>-0.11864406779661017</v>
      </c>
      <c r="F97" s="379"/>
      <c r="G97" s="280"/>
      <c r="H97" s="280"/>
      <c r="I97" s="383"/>
      <c r="J97" s="379"/>
      <c r="K97" s="589">
        <v>-0.06722689075630252</v>
      </c>
      <c r="L97" s="379"/>
      <c r="M97" s="379"/>
      <c r="N97" s="379"/>
      <c r="O97" s="380"/>
      <c r="P97" s="379"/>
      <c r="Q97" s="557" t="s">
        <v>9</v>
      </c>
      <c r="R97" s="588">
        <v>-0.06422018348623854</v>
      </c>
      <c r="S97" s="379"/>
      <c r="T97" s="383"/>
      <c r="U97" s="379"/>
      <c r="V97" s="589">
        <v>-0.06422018348623854</v>
      </c>
      <c r="W97" s="379"/>
      <c r="X97" s="590">
        <v>5.4423884310371635</v>
      </c>
      <c r="Y97" s="379"/>
      <c r="Z97" s="590">
        <v>0.30067072700639824</v>
      </c>
      <c r="AA97" s="379"/>
      <c r="AB97" s="379"/>
      <c r="AC97" s="202"/>
    </row>
    <row r="98" spans="2:29" ht="12.75">
      <c r="B98" s="185"/>
      <c r="C98" s="111"/>
      <c r="D98" s="272" t="s">
        <v>10</v>
      </c>
      <c r="E98" s="281">
        <v>0.4104164013752706</v>
      </c>
      <c r="F98" s="592"/>
      <c r="G98" s="593"/>
      <c r="H98" s="593"/>
      <c r="I98" s="593"/>
      <c r="J98" s="592"/>
      <c r="K98" s="282">
        <v>0.4127957931638913</v>
      </c>
      <c r="L98" s="100"/>
      <c r="M98" s="100"/>
      <c r="N98" s="100"/>
      <c r="O98" s="595"/>
      <c r="P98" s="100"/>
      <c r="Q98" s="272" t="s">
        <v>10</v>
      </c>
      <c r="R98" s="281">
        <v>0.39596469104665827</v>
      </c>
      <c r="S98" s="100"/>
      <c r="T98" s="593"/>
      <c r="U98" s="100"/>
      <c r="V98" s="282">
        <v>0.40870113493064314</v>
      </c>
      <c r="W98" s="100"/>
      <c r="X98" s="596">
        <v>-1.445171032861231</v>
      </c>
      <c r="Y98" s="100"/>
      <c r="Z98" s="596">
        <v>-0.4094658233248172</v>
      </c>
      <c r="AA98" s="100"/>
      <c r="AB98" s="100"/>
      <c r="AC98" s="202"/>
    </row>
    <row r="99" spans="2:29" ht="12.75">
      <c r="B99" s="185"/>
      <c r="C99" s="111"/>
      <c r="D99" s="283"/>
      <c r="E99" s="284"/>
      <c r="F99" s="100"/>
      <c r="G99" s="597"/>
      <c r="H99" s="597"/>
      <c r="I99" s="597"/>
      <c r="J99" s="100"/>
      <c r="K99" s="597"/>
      <c r="L99" s="100"/>
      <c r="M99" s="100"/>
      <c r="N99" s="100"/>
      <c r="O99" s="595"/>
      <c r="P99" s="100"/>
      <c r="Q99" s="283"/>
      <c r="R99" s="284"/>
      <c r="S99" s="100"/>
      <c r="T99" s="597"/>
      <c r="U99" s="100"/>
      <c r="V99" s="597"/>
      <c r="W99" s="100"/>
      <c r="X99" s="599"/>
      <c r="Y99" s="100"/>
      <c r="Z99" s="599"/>
      <c r="AA99" s="100"/>
      <c r="AB99" s="100"/>
      <c r="AC99" s="202"/>
    </row>
    <row r="100" spans="2:29" ht="12.75">
      <c r="B100" s="185"/>
      <c r="C100" s="111"/>
      <c r="D100" s="258" t="s">
        <v>47</v>
      </c>
      <c r="E100" s="376"/>
      <c r="F100" s="234"/>
      <c r="G100" s="279"/>
      <c r="H100" s="279"/>
      <c r="I100" s="377"/>
      <c r="J100" s="234"/>
      <c r="K100" s="377"/>
      <c r="L100" s="234"/>
      <c r="M100" s="234"/>
      <c r="N100" s="234"/>
      <c r="O100" s="378"/>
      <c r="P100" s="234"/>
      <c r="Q100" s="258" t="s">
        <v>47</v>
      </c>
      <c r="R100" s="376"/>
      <c r="S100" s="234"/>
      <c r="T100" s="377"/>
      <c r="U100" s="234"/>
      <c r="V100" s="377"/>
      <c r="W100" s="234"/>
      <c r="X100" s="243"/>
      <c r="Y100" s="234"/>
      <c r="Z100" s="243"/>
      <c r="AA100" s="234"/>
      <c r="AB100" s="234"/>
      <c r="AC100" s="202"/>
    </row>
    <row r="101" spans="2:29" ht="12.75">
      <c r="B101" s="185"/>
      <c r="C101" s="111"/>
      <c r="D101" s="542" t="s">
        <v>7</v>
      </c>
      <c r="E101" s="600">
        <v>1956</v>
      </c>
      <c r="F101" s="573"/>
      <c r="G101" s="544">
        <v>-3</v>
      </c>
      <c r="H101" s="544"/>
      <c r="I101" s="544">
        <v>11</v>
      </c>
      <c r="J101" s="573"/>
      <c r="K101" s="544">
        <v>1964</v>
      </c>
      <c r="L101" s="548"/>
      <c r="M101" s="548"/>
      <c r="N101" s="548"/>
      <c r="O101" s="575"/>
      <c r="P101" s="548"/>
      <c r="Q101" s="542" t="s">
        <v>7</v>
      </c>
      <c r="R101" s="600">
        <v>1666</v>
      </c>
      <c r="S101" s="548"/>
      <c r="T101" s="544">
        <v>98</v>
      </c>
      <c r="U101" s="548"/>
      <c r="V101" s="544">
        <v>1764</v>
      </c>
      <c r="W101" s="548"/>
      <c r="X101" s="549">
        <v>-0.1482617586912065</v>
      </c>
      <c r="Y101" s="548"/>
      <c r="Z101" s="549">
        <v>-0.10183299389002032</v>
      </c>
      <c r="AA101" s="548"/>
      <c r="AB101" s="548"/>
      <c r="AC101" s="898"/>
    </row>
    <row r="102" spans="2:29" ht="12.75">
      <c r="B102" s="185"/>
      <c r="C102" s="111"/>
      <c r="D102" s="557" t="s">
        <v>8</v>
      </c>
      <c r="E102" s="561">
        <v>-40</v>
      </c>
      <c r="F102" s="548"/>
      <c r="G102" s="552">
        <v>11</v>
      </c>
      <c r="H102" s="552"/>
      <c r="I102" s="552"/>
      <c r="J102" s="548"/>
      <c r="K102" s="552">
        <v>-29</v>
      </c>
      <c r="L102" s="548"/>
      <c r="M102" s="548"/>
      <c r="N102" s="548"/>
      <c r="O102" s="575"/>
      <c r="P102" s="548"/>
      <c r="Q102" s="557" t="s">
        <v>8</v>
      </c>
      <c r="R102" s="561">
        <v>-21</v>
      </c>
      <c r="S102" s="548"/>
      <c r="T102" s="552">
        <v>2</v>
      </c>
      <c r="U102" s="548"/>
      <c r="V102" s="552">
        <v>-19</v>
      </c>
      <c r="W102" s="548"/>
      <c r="X102" s="556">
        <v>0.475</v>
      </c>
      <c r="Y102" s="548"/>
      <c r="Z102" s="556">
        <v>0.3448275862068966</v>
      </c>
      <c r="AA102" s="548"/>
      <c r="AB102" s="548"/>
      <c r="AC102" s="898"/>
    </row>
    <row r="103" spans="2:29" ht="12.75">
      <c r="B103" s="185"/>
      <c r="C103" s="111"/>
      <c r="D103" s="557" t="s">
        <v>31</v>
      </c>
      <c r="E103" s="561">
        <v>-42</v>
      </c>
      <c r="F103" s="548"/>
      <c r="G103" s="552"/>
      <c r="H103" s="552"/>
      <c r="I103" s="552"/>
      <c r="J103" s="548"/>
      <c r="K103" s="552">
        <v>-42</v>
      </c>
      <c r="L103" s="548"/>
      <c r="M103" s="548"/>
      <c r="N103" s="548"/>
      <c r="O103" s="575"/>
      <c r="P103" s="548"/>
      <c r="Q103" s="557" t="s">
        <v>31</v>
      </c>
      <c r="R103" s="561">
        <v>53</v>
      </c>
      <c r="S103" s="548"/>
      <c r="T103" s="552"/>
      <c r="U103" s="548"/>
      <c r="V103" s="552">
        <v>53</v>
      </c>
      <c r="W103" s="548"/>
      <c r="X103" s="556"/>
      <c r="Y103" s="548"/>
      <c r="Z103" s="556"/>
      <c r="AA103" s="548"/>
      <c r="AB103" s="548"/>
      <c r="AC103" s="898"/>
    </row>
    <row r="104" spans="2:29" ht="12.75">
      <c r="B104" s="185"/>
      <c r="C104" s="111"/>
      <c r="D104" s="557" t="s">
        <v>89</v>
      </c>
      <c r="E104" s="561">
        <v>-38</v>
      </c>
      <c r="F104" s="548"/>
      <c r="G104" s="552"/>
      <c r="H104" s="552"/>
      <c r="I104" s="552">
        <v>4</v>
      </c>
      <c r="J104" s="548"/>
      <c r="K104" s="552">
        <v>-34</v>
      </c>
      <c r="L104" s="379"/>
      <c r="M104" s="379"/>
      <c r="N104" s="379"/>
      <c r="O104" s="380"/>
      <c r="P104" s="379"/>
      <c r="Q104" s="557" t="s">
        <v>89</v>
      </c>
      <c r="R104" s="561">
        <v>-26</v>
      </c>
      <c r="S104" s="548"/>
      <c r="T104" s="552"/>
      <c r="U104" s="548"/>
      <c r="V104" s="552">
        <v>-26</v>
      </c>
      <c r="W104" s="379"/>
      <c r="X104" s="556">
        <v>0.3157894736842105</v>
      </c>
      <c r="Y104" s="379"/>
      <c r="Z104" s="556">
        <v>0.23529411764705888</v>
      </c>
      <c r="AA104" s="379"/>
      <c r="AB104" s="379"/>
      <c r="AC104" s="898"/>
    </row>
    <row r="105" spans="2:29" ht="12.75">
      <c r="B105" s="185"/>
      <c r="C105" s="111"/>
      <c r="D105" s="557" t="s">
        <v>9</v>
      </c>
      <c r="E105" s="561">
        <v>-18</v>
      </c>
      <c r="F105" s="548"/>
      <c r="G105" s="552">
        <v>1</v>
      </c>
      <c r="H105" s="552">
        <v>-1</v>
      </c>
      <c r="I105" s="552">
        <v>6</v>
      </c>
      <c r="J105" s="548"/>
      <c r="K105" s="552">
        <v>-12</v>
      </c>
      <c r="L105" s="548"/>
      <c r="M105" s="548"/>
      <c r="N105" s="548"/>
      <c r="O105" s="575"/>
      <c r="P105" s="548"/>
      <c r="Q105" s="557" t="s">
        <v>9</v>
      </c>
      <c r="R105" s="561">
        <v>-10</v>
      </c>
      <c r="S105" s="548"/>
      <c r="T105" s="552">
        <v>-1</v>
      </c>
      <c r="U105" s="548"/>
      <c r="V105" s="552">
        <v>-11</v>
      </c>
      <c r="W105" s="548"/>
      <c r="X105" s="556">
        <v>0.4444444444444444</v>
      </c>
      <c r="Y105" s="548"/>
      <c r="Z105" s="556">
        <v>0.08333333333333337</v>
      </c>
      <c r="AA105" s="548"/>
      <c r="AB105" s="548"/>
      <c r="AC105" s="898"/>
    </row>
    <row r="106" spans="2:29" ht="12.75">
      <c r="B106" s="185"/>
      <c r="C106" s="111"/>
      <c r="D106" s="557" t="s">
        <v>187</v>
      </c>
      <c r="E106" s="561">
        <v>0</v>
      </c>
      <c r="F106" s="548"/>
      <c r="G106" s="552"/>
      <c r="H106" s="552">
        <v>-1</v>
      </c>
      <c r="I106" s="552">
        <v>1</v>
      </c>
      <c r="J106" s="548"/>
      <c r="K106" s="552">
        <v>0</v>
      </c>
      <c r="L106" s="548"/>
      <c r="M106" s="548"/>
      <c r="N106" s="548"/>
      <c r="O106" s="575"/>
      <c r="P106" s="548"/>
      <c r="Q106" s="557" t="s">
        <v>187</v>
      </c>
      <c r="R106" s="561">
        <v>10</v>
      </c>
      <c r="S106" s="548"/>
      <c r="T106" s="552"/>
      <c r="U106" s="548"/>
      <c r="V106" s="552">
        <v>10</v>
      </c>
      <c r="W106" s="548"/>
      <c r="X106" s="556"/>
      <c r="Y106" s="548"/>
      <c r="Z106" s="556"/>
      <c r="AA106" s="548"/>
      <c r="AB106" s="548"/>
      <c r="AC106" s="898"/>
    </row>
    <row r="107" spans="2:29" ht="12.75">
      <c r="B107" s="185"/>
      <c r="C107" s="111"/>
      <c r="D107" s="619" t="s">
        <v>188</v>
      </c>
      <c r="E107" s="561">
        <v>-1</v>
      </c>
      <c r="F107" s="548"/>
      <c r="G107" s="552"/>
      <c r="H107" s="552"/>
      <c r="I107" s="552">
        <v>23</v>
      </c>
      <c r="J107" s="548"/>
      <c r="K107" s="552">
        <v>22</v>
      </c>
      <c r="L107" s="548"/>
      <c r="M107" s="548"/>
      <c r="N107" s="548"/>
      <c r="O107" s="575"/>
      <c r="P107" s="548"/>
      <c r="Q107" s="619" t="s">
        <v>188</v>
      </c>
      <c r="R107" s="561">
        <v>14</v>
      </c>
      <c r="S107" s="548"/>
      <c r="T107" s="552"/>
      <c r="U107" s="548"/>
      <c r="V107" s="552">
        <v>14</v>
      </c>
      <c r="W107" s="548"/>
      <c r="X107" s="556"/>
      <c r="Y107" s="548"/>
      <c r="Z107" s="911"/>
      <c r="AA107" s="548"/>
      <c r="AB107" s="900"/>
      <c r="AC107" s="898"/>
    </row>
    <row r="108" spans="2:29" ht="12.75">
      <c r="B108" s="185"/>
      <c r="C108" s="111"/>
      <c r="D108" s="272" t="s">
        <v>10</v>
      </c>
      <c r="E108" s="384">
        <v>1817</v>
      </c>
      <c r="F108" s="579"/>
      <c r="G108" s="275">
        <v>9</v>
      </c>
      <c r="H108" s="275">
        <v>-2</v>
      </c>
      <c r="I108" s="275">
        <v>45</v>
      </c>
      <c r="J108" s="579"/>
      <c r="K108" s="275">
        <v>1869</v>
      </c>
      <c r="L108" s="548"/>
      <c r="M108" s="548"/>
      <c r="N108" s="548"/>
      <c r="O108" s="575"/>
      <c r="P108" s="548"/>
      <c r="Q108" s="272" t="s">
        <v>10</v>
      </c>
      <c r="R108" s="384">
        <v>1686</v>
      </c>
      <c r="S108" s="548"/>
      <c r="T108" s="275">
        <v>99</v>
      </c>
      <c r="U108" s="548"/>
      <c r="V108" s="275">
        <v>1785</v>
      </c>
      <c r="W108" s="548"/>
      <c r="X108" s="277">
        <v>-0.07209686296092455</v>
      </c>
      <c r="Y108" s="548"/>
      <c r="Z108" s="277">
        <v>-0.0449438202247191</v>
      </c>
      <c r="AA108" s="548"/>
      <c r="AB108" s="548"/>
      <c r="AC108" s="202"/>
    </row>
    <row r="109" spans="2:29" ht="12.75">
      <c r="B109" s="185"/>
      <c r="C109" s="111"/>
      <c r="D109" s="581"/>
      <c r="E109" s="561"/>
      <c r="F109" s="548"/>
      <c r="G109" s="577"/>
      <c r="H109" s="577"/>
      <c r="I109" s="552"/>
      <c r="J109" s="548"/>
      <c r="K109" s="552"/>
      <c r="L109" s="548"/>
      <c r="M109" s="548"/>
      <c r="N109" s="548"/>
      <c r="O109" s="575"/>
      <c r="P109" s="548"/>
      <c r="Q109" s="581"/>
      <c r="R109" s="561"/>
      <c r="S109" s="548"/>
      <c r="T109" s="552"/>
      <c r="U109" s="548"/>
      <c r="V109" s="552"/>
      <c r="W109" s="548"/>
      <c r="X109" s="578"/>
      <c r="Y109" s="548"/>
      <c r="Z109" s="578"/>
      <c r="AA109" s="548"/>
      <c r="AB109" s="548"/>
      <c r="AC109" s="202"/>
    </row>
    <row r="110" spans="2:29" ht="12.75">
      <c r="B110" s="185"/>
      <c r="C110" s="111"/>
      <c r="D110" s="258" t="s">
        <v>69</v>
      </c>
      <c r="E110" s="583"/>
      <c r="F110" s="548"/>
      <c r="G110" s="577"/>
      <c r="H110" s="577"/>
      <c r="I110" s="552"/>
      <c r="J110" s="548"/>
      <c r="K110" s="552"/>
      <c r="L110" s="548"/>
      <c r="M110" s="548"/>
      <c r="N110" s="548"/>
      <c r="O110" s="575"/>
      <c r="P110" s="548"/>
      <c r="Q110" s="258" t="s">
        <v>69</v>
      </c>
      <c r="R110" s="583"/>
      <c r="S110" s="548"/>
      <c r="T110" s="552"/>
      <c r="U110" s="548"/>
      <c r="V110" s="552"/>
      <c r="W110" s="548"/>
      <c r="X110" s="578"/>
      <c r="Y110" s="548"/>
      <c r="Z110" s="578"/>
      <c r="AA110" s="548"/>
      <c r="AB110" s="548"/>
      <c r="AC110" s="202"/>
    </row>
    <row r="111" spans="2:29" ht="12.75">
      <c r="B111" s="185"/>
      <c r="C111" s="111"/>
      <c r="D111" s="542" t="s">
        <v>7</v>
      </c>
      <c r="E111" s="584">
        <v>0.29726443768996963</v>
      </c>
      <c r="F111" s="573"/>
      <c r="G111" s="585"/>
      <c r="H111" s="585"/>
      <c r="I111" s="544"/>
      <c r="J111" s="573"/>
      <c r="K111" s="586">
        <v>0.2988435788192331</v>
      </c>
      <c r="L111" s="548"/>
      <c r="M111" s="548"/>
      <c r="N111" s="548"/>
      <c r="O111" s="575"/>
      <c r="P111" s="548"/>
      <c r="Q111" s="542" t="s">
        <v>7</v>
      </c>
      <c r="R111" s="584">
        <v>0.2698849829904422</v>
      </c>
      <c r="S111" s="548"/>
      <c r="T111" s="544"/>
      <c r="U111" s="548"/>
      <c r="V111" s="586">
        <v>0.28576057022517415</v>
      </c>
      <c r="W111" s="548"/>
      <c r="X111" s="587">
        <v>-2.7379454699527406</v>
      </c>
      <c r="Y111" s="548"/>
      <c r="Z111" s="587">
        <v>-1.3083008594058976</v>
      </c>
      <c r="AA111" s="548"/>
      <c r="AB111" s="548"/>
      <c r="AC111" s="202"/>
    </row>
    <row r="112" spans="2:29" ht="12.75">
      <c r="B112" s="185"/>
      <c r="C112" s="111"/>
      <c r="D112" s="557" t="s">
        <v>8</v>
      </c>
      <c r="E112" s="588">
        <v>-0.17937219730941703</v>
      </c>
      <c r="F112" s="548"/>
      <c r="G112" s="577"/>
      <c r="H112" s="577"/>
      <c r="I112" s="552"/>
      <c r="J112" s="548"/>
      <c r="K112" s="589">
        <v>-0.0855457227138643</v>
      </c>
      <c r="L112" s="548"/>
      <c r="M112" s="548"/>
      <c r="N112" s="548"/>
      <c r="O112" s="575"/>
      <c r="P112" s="548"/>
      <c r="Q112" s="557" t="s">
        <v>8</v>
      </c>
      <c r="R112" s="588">
        <v>-0.05370843989769821</v>
      </c>
      <c r="S112" s="548"/>
      <c r="T112" s="552"/>
      <c r="U112" s="548"/>
      <c r="V112" s="589">
        <v>-0.04859335038363171</v>
      </c>
      <c r="W112" s="548"/>
      <c r="X112" s="590">
        <v>12.566375741171882</v>
      </c>
      <c r="Y112" s="548"/>
      <c r="Z112" s="590">
        <v>3.6952372330232595</v>
      </c>
      <c r="AA112" s="548"/>
      <c r="AB112" s="548"/>
      <c r="AC112" s="202"/>
    </row>
    <row r="113" spans="2:29" ht="12.75">
      <c r="B113" s="185"/>
      <c r="C113" s="111"/>
      <c r="D113" s="557" t="s">
        <v>31</v>
      </c>
      <c r="E113" s="588">
        <v>-0.04745762711864407</v>
      </c>
      <c r="F113" s="548"/>
      <c r="G113" s="577"/>
      <c r="H113" s="577"/>
      <c r="I113" s="552"/>
      <c r="J113" s="548"/>
      <c r="K113" s="589">
        <v>-0.04590163934426229</v>
      </c>
      <c r="L113" s="548"/>
      <c r="M113" s="548"/>
      <c r="N113" s="548"/>
      <c r="O113" s="575"/>
      <c r="P113" s="548"/>
      <c r="Q113" s="557" t="s">
        <v>31</v>
      </c>
      <c r="R113" s="588">
        <v>0.04337152209492635</v>
      </c>
      <c r="S113" s="548"/>
      <c r="T113" s="552"/>
      <c r="U113" s="548"/>
      <c r="V113" s="589">
        <v>0.04337152209492635</v>
      </c>
      <c r="W113" s="548"/>
      <c r="X113" s="590">
        <v>9.082914921357041</v>
      </c>
      <c r="Y113" s="379"/>
      <c r="Z113" s="590">
        <v>8.927316143918866</v>
      </c>
      <c r="AA113" s="548"/>
      <c r="AB113" s="548"/>
      <c r="AC113" s="202"/>
    </row>
    <row r="114" spans="2:29" ht="12.75">
      <c r="B114" s="185"/>
      <c r="C114" s="111"/>
      <c r="D114" s="557" t="s">
        <v>89</v>
      </c>
      <c r="E114" s="588">
        <v>-0.7037037037037037</v>
      </c>
      <c r="F114" s="548"/>
      <c r="G114" s="577"/>
      <c r="H114" s="577"/>
      <c r="I114" s="552"/>
      <c r="J114" s="548"/>
      <c r="K114" s="589">
        <v>-0.6296296296296297</v>
      </c>
      <c r="L114" s="548"/>
      <c r="M114" s="548"/>
      <c r="N114" s="548"/>
      <c r="O114" s="575"/>
      <c r="P114" s="548"/>
      <c r="Q114" s="557" t="s">
        <v>89</v>
      </c>
      <c r="R114" s="588">
        <v>-0.3880597014925373</v>
      </c>
      <c r="S114" s="548"/>
      <c r="T114" s="552"/>
      <c r="U114" s="548"/>
      <c r="V114" s="589">
        <v>-0.3880597014925373</v>
      </c>
      <c r="W114" s="548"/>
      <c r="X114" s="590">
        <v>31.56440022111664</v>
      </c>
      <c r="Y114" s="379"/>
      <c r="Z114" s="590">
        <v>24.156992813709234</v>
      </c>
      <c r="AA114" s="548"/>
      <c r="AB114" s="548"/>
      <c r="AC114" s="202"/>
    </row>
    <row r="115" spans="2:29" ht="12.75">
      <c r="B115" s="185"/>
      <c r="C115" s="111"/>
      <c r="D115" s="557" t="s">
        <v>9</v>
      </c>
      <c r="E115" s="588">
        <v>-0.15254237288135594</v>
      </c>
      <c r="F115" s="548"/>
      <c r="G115" s="577"/>
      <c r="H115" s="577"/>
      <c r="I115" s="552"/>
      <c r="J115" s="548"/>
      <c r="K115" s="589">
        <v>-0.10084033613445378</v>
      </c>
      <c r="L115" s="548"/>
      <c r="M115" s="548"/>
      <c r="N115" s="548"/>
      <c r="O115" s="575"/>
      <c r="P115" s="548"/>
      <c r="Q115" s="557" t="s">
        <v>9</v>
      </c>
      <c r="R115" s="588">
        <v>-0.09174311926605505</v>
      </c>
      <c r="S115" s="548"/>
      <c r="T115" s="552"/>
      <c r="U115" s="548"/>
      <c r="V115" s="589">
        <v>-0.10091743119266056</v>
      </c>
      <c r="W115" s="548"/>
      <c r="X115" s="590">
        <v>6.079925361530089</v>
      </c>
      <c r="Y115" s="379"/>
      <c r="Z115" s="590">
        <v>-0.007709505820677198</v>
      </c>
      <c r="AA115" s="548"/>
      <c r="AB115" s="548"/>
      <c r="AC115" s="202"/>
    </row>
    <row r="116" spans="2:29" ht="12.75">
      <c r="B116" s="185"/>
      <c r="C116" s="111"/>
      <c r="D116" s="272" t="s">
        <v>10</v>
      </c>
      <c r="E116" s="281">
        <v>0.23137654399592514</v>
      </c>
      <c r="F116" s="579"/>
      <c r="G116" s="602"/>
      <c r="H116" s="602"/>
      <c r="I116" s="562"/>
      <c r="J116" s="579"/>
      <c r="K116" s="282">
        <v>0.23400525854513585</v>
      </c>
      <c r="L116" s="548"/>
      <c r="M116" s="548"/>
      <c r="N116" s="548"/>
      <c r="O116" s="575"/>
      <c r="P116" s="548"/>
      <c r="Q116" s="272" t="s">
        <v>10</v>
      </c>
      <c r="R116" s="281">
        <v>0.21261034047919294</v>
      </c>
      <c r="S116" s="548"/>
      <c r="T116" s="562"/>
      <c r="U116" s="548"/>
      <c r="V116" s="282">
        <v>0.22509457755359394</v>
      </c>
      <c r="W116" s="548"/>
      <c r="X116" s="596">
        <v>-1.8766203516732194</v>
      </c>
      <c r="Y116" s="100"/>
      <c r="Z116" s="596">
        <v>-0.8910680991541908</v>
      </c>
      <c r="AA116" s="548"/>
      <c r="AB116" s="548"/>
      <c r="AC116" s="202"/>
    </row>
    <row r="117" spans="2:29" ht="13.5" thickBot="1">
      <c r="B117" s="185"/>
      <c r="C117" s="111"/>
      <c r="D117" s="286"/>
      <c r="E117" s="385"/>
      <c r="F117" s="385"/>
      <c r="G117" s="287"/>
      <c r="H117" s="287"/>
      <c r="I117" s="385"/>
      <c r="J117" s="385"/>
      <c r="K117" s="385"/>
      <c r="L117" s="385"/>
      <c r="M117" s="385"/>
      <c r="N117" s="385"/>
      <c r="O117" s="386"/>
      <c r="P117" s="379"/>
      <c r="Q117" s="288"/>
      <c r="R117" s="387"/>
      <c r="S117" s="387"/>
      <c r="T117" s="387"/>
      <c r="U117" s="387"/>
      <c r="V117" s="289"/>
      <c r="W117" s="379"/>
      <c r="X117" s="388"/>
      <c r="Y117" s="379"/>
      <c r="Z117" s="388"/>
      <c r="AA117" s="379"/>
      <c r="AB117" s="379"/>
      <c r="AC117" s="202"/>
    </row>
    <row r="118" spans="2:29" ht="13.5" thickTop="1">
      <c r="B118" s="185"/>
      <c r="C118" s="111"/>
      <c r="D118" s="1551" t="s">
        <v>200</v>
      </c>
      <c r="E118" s="1551"/>
      <c r="F118" s="1551"/>
      <c r="G118" s="1551"/>
      <c r="H118" s="1551"/>
      <c r="I118" s="1551"/>
      <c r="J118" s="1551"/>
      <c r="K118" s="1551"/>
      <c r="L118" s="1551"/>
      <c r="M118" s="1551"/>
      <c r="N118" s="1551"/>
      <c r="O118" s="1551"/>
      <c r="P118" s="1551"/>
      <c r="Q118" s="1551"/>
      <c r="R118" s="1551"/>
      <c r="S118" s="1551"/>
      <c r="T118" s="1551"/>
      <c r="U118" s="1551"/>
      <c r="V118" s="1551"/>
      <c r="W118" s="1551"/>
      <c r="X118" s="1551"/>
      <c r="Y118" s="1551"/>
      <c r="Z118" s="1551"/>
      <c r="AA118" s="379"/>
      <c r="AB118" s="379"/>
      <c r="AC118" s="202"/>
    </row>
    <row r="119" spans="2:29" ht="12.75">
      <c r="B119" s="185"/>
      <c r="C119" s="111"/>
      <c r="D119" s="1551"/>
      <c r="E119" s="1551"/>
      <c r="F119" s="1551"/>
      <c r="G119" s="1551"/>
      <c r="H119" s="1551"/>
      <c r="I119" s="1551"/>
      <c r="J119" s="1551"/>
      <c r="K119" s="1551"/>
      <c r="L119" s="1551"/>
      <c r="M119" s="1551"/>
      <c r="N119" s="1551"/>
      <c r="O119" s="1551"/>
      <c r="P119" s="1551"/>
      <c r="Q119" s="1551"/>
      <c r="R119" s="1551"/>
      <c r="S119" s="1551"/>
      <c r="T119" s="1551"/>
      <c r="U119" s="1551"/>
      <c r="V119" s="1551"/>
      <c r="W119" s="1551"/>
      <c r="X119" s="1551"/>
      <c r="Y119" s="1551"/>
      <c r="Z119" s="1551"/>
      <c r="AA119" s="379"/>
      <c r="AB119" s="379"/>
      <c r="AC119" s="202"/>
    </row>
    <row r="120" spans="2:29" ht="12.75">
      <c r="B120" s="185"/>
      <c r="C120" s="111"/>
      <c r="D120" s="1552" t="s">
        <v>195</v>
      </c>
      <c r="E120" s="1553"/>
      <c r="F120" s="1553"/>
      <c r="G120" s="1553"/>
      <c r="H120" s="1553"/>
      <c r="I120" s="903" t="s">
        <v>3</v>
      </c>
      <c r="J120" s="903"/>
      <c r="K120" s="904" t="s">
        <v>142</v>
      </c>
      <c r="L120" s="379"/>
      <c r="M120" s="379"/>
      <c r="N120" s="379"/>
      <c r="O120" s="379"/>
      <c r="P120" s="379"/>
      <c r="Q120" s="901" t="s">
        <v>196</v>
      </c>
      <c r="R120" s="902"/>
      <c r="S120" s="902"/>
      <c r="T120" s="902"/>
      <c r="U120" s="902"/>
      <c r="V120" s="903" t="s">
        <v>3</v>
      </c>
      <c r="W120" s="903"/>
      <c r="X120" s="904" t="s">
        <v>142</v>
      </c>
      <c r="Y120" s="379"/>
      <c r="Z120" s="379"/>
      <c r="AA120" s="379"/>
      <c r="AB120" s="379"/>
      <c r="AC120" s="202"/>
    </row>
    <row r="121" spans="2:29" s="97" customFormat="1" ht="12.75">
      <c r="B121" s="441"/>
      <c r="C121" s="100"/>
      <c r="D121" s="667" t="s">
        <v>336</v>
      </c>
      <c r="E121" s="379"/>
      <c r="F121" s="379"/>
      <c r="G121" s="401"/>
      <c r="H121" s="401"/>
      <c r="I121" s="548">
        <v>50</v>
      </c>
      <c r="J121" s="379"/>
      <c r="K121" s="561">
        <v>47</v>
      </c>
      <c r="L121" s="379"/>
      <c r="M121" s="379"/>
      <c r="N121" s="379"/>
      <c r="O121" s="379"/>
      <c r="P121" s="379"/>
      <c r="Q121" s="667" t="s">
        <v>336</v>
      </c>
      <c r="R121" s="379"/>
      <c r="S121" s="379"/>
      <c r="T121" s="401"/>
      <c r="U121" s="401"/>
      <c r="V121" s="548">
        <v>50</v>
      </c>
      <c r="W121" s="379"/>
      <c r="X121" s="561">
        <v>47</v>
      </c>
      <c r="Y121" s="379"/>
      <c r="Z121" s="379"/>
      <c r="AA121" s="379"/>
      <c r="AB121" s="379"/>
      <c r="AC121" s="442"/>
    </row>
    <row r="122" spans="2:29" ht="12.75">
      <c r="B122" s="185"/>
      <c r="C122" s="111"/>
      <c r="D122" s="620" t="s">
        <v>298</v>
      </c>
      <c r="E122" s="379"/>
      <c r="F122" s="379"/>
      <c r="G122" s="401"/>
      <c r="H122" s="401"/>
      <c r="I122" s="548"/>
      <c r="J122" s="379"/>
      <c r="K122" s="561">
        <v>33</v>
      </c>
      <c r="L122" s="379"/>
      <c r="M122" s="379"/>
      <c r="N122" s="379"/>
      <c r="O122" s="379"/>
      <c r="P122" s="379"/>
      <c r="Q122" s="620" t="s">
        <v>298</v>
      </c>
      <c r="R122" s="379"/>
      <c r="S122" s="379"/>
      <c r="T122" s="401"/>
      <c r="U122" s="401"/>
      <c r="V122" s="548">
        <v>0</v>
      </c>
      <c r="W122" s="379"/>
      <c r="X122" s="561">
        <v>33</v>
      </c>
      <c r="Y122" s="379"/>
      <c r="Z122" s="379"/>
      <c r="AA122" s="379"/>
      <c r="AB122" s="379"/>
      <c r="AC122" s="202"/>
    </row>
    <row r="123" spans="2:29" ht="12.75">
      <c r="B123" s="185"/>
      <c r="C123" s="111"/>
      <c r="D123" s="620" t="s">
        <v>299</v>
      </c>
      <c r="E123" s="379"/>
      <c r="F123" s="379"/>
      <c r="G123" s="401"/>
      <c r="H123" s="401"/>
      <c r="I123" s="548"/>
      <c r="J123" s="379"/>
      <c r="K123" s="561">
        <v>20</v>
      </c>
      <c r="L123" s="379"/>
      <c r="M123" s="379"/>
      <c r="N123" s="379"/>
      <c r="O123" s="379"/>
      <c r="P123" s="379"/>
      <c r="Q123" s="620" t="s">
        <v>193</v>
      </c>
      <c r="R123" s="379"/>
      <c r="S123" s="379"/>
      <c r="T123" s="401"/>
      <c r="U123" s="401"/>
      <c r="V123" s="548">
        <v>-38</v>
      </c>
      <c r="W123" s="379"/>
      <c r="X123" s="561"/>
      <c r="Y123" s="379"/>
      <c r="Z123" s="379"/>
      <c r="AA123" s="379"/>
      <c r="AB123" s="379"/>
      <c r="AC123" s="202"/>
    </row>
    <row r="124" spans="2:29" ht="12.75">
      <c r="B124" s="185"/>
      <c r="C124" s="111"/>
      <c r="D124" s="620" t="s">
        <v>192</v>
      </c>
      <c r="E124" s="379"/>
      <c r="F124" s="379"/>
      <c r="G124" s="401"/>
      <c r="H124" s="401"/>
      <c r="I124" s="548">
        <v>9</v>
      </c>
      <c r="J124" s="379"/>
      <c r="K124" s="561">
        <v>1</v>
      </c>
      <c r="L124" s="379"/>
      <c r="M124" s="379"/>
      <c r="N124" s="379"/>
      <c r="O124" s="379"/>
      <c r="P124" s="379"/>
      <c r="Q124" s="620" t="s">
        <v>299</v>
      </c>
      <c r="R124" s="379"/>
      <c r="S124" s="379"/>
      <c r="T124" s="401"/>
      <c r="U124" s="401"/>
      <c r="V124" s="548"/>
      <c r="W124" s="379"/>
      <c r="X124" s="561">
        <v>20</v>
      </c>
      <c r="Y124" s="379"/>
      <c r="Z124" s="379"/>
      <c r="AA124" s="379"/>
      <c r="AB124" s="379"/>
      <c r="AC124" s="202"/>
    </row>
    <row r="125" spans="2:29" ht="12.75">
      <c r="B125" s="185"/>
      <c r="C125" s="111"/>
      <c r="D125" s="621" t="s">
        <v>139</v>
      </c>
      <c r="E125" s="402"/>
      <c r="F125" s="402"/>
      <c r="G125" s="403"/>
      <c r="H125" s="403"/>
      <c r="I125" s="402">
        <v>59</v>
      </c>
      <c r="J125" s="402"/>
      <c r="K125" s="384">
        <v>101</v>
      </c>
      <c r="L125" s="379"/>
      <c r="M125" s="379"/>
      <c r="N125" s="379"/>
      <c r="O125" s="379"/>
      <c r="P125" s="379"/>
      <c r="Q125" s="620" t="s">
        <v>194</v>
      </c>
      <c r="R125" s="379"/>
      <c r="S125" s="379"/>
      <c r="T125" s="401"/>
      <c r="U125" s="401"/>
      <c r="V125" s="548">
        <v>0</v>
      </c>
      <c r="W125" s="379"/>
      <c r="X125" s="561">
        <v>0</v>
      </c>
      <c r="Y125" s="379"/>
      <c r="Z125" s="379"/>
      <c r="AA125" s="379"/>
      <c r="AB125" s="379"/>
      <c r="AC125" s="202"/>
    </row>
    <row r="126" spans="2:29" ht="12.75">
      <c r="B126" s="185"/>
      <c r="C126" s="111"/>
      <c r="D126" s="622"/>
      <c r="E126" s="379"/>
      <c r="F126" s="379"/>
      <c r="G126" s="401"/>
      <c r="H126" s="401"/>
      <c r="I126" s="379"/>
      <c r="J126" s="379"/>
      <c r="K126" s="379"/>
      <c r="L126" s="379"/>
      <c r="M126" s="379"/>
      <c r="N126" s="379"/>
      <c r="O126" s="379"/>
      <c r="P126" s="379"/>
      <c r="Q126" s="620" t="s">
        <v>305</v>
      </c>
      <c r="R126" s="379"/>
      <c r="S126" s="379"/>
      <c r="T126" s="401"/>
      <c r="U126" s="401"/>
      <c r="V126" s="548">
        <v>25</v>
      </c>
      <c r="W126" s="379"/>
      <c r="X126" s="561"/>
      <c r="Y126" s="379"/>
      <c r="Z126" s="379"/>
      <c r="AA126" s="379"/>
      <c r="AB126" s="379"/>
      <c r="AC126" s="202"/>
    </row>
    <row r="127" spans="2:29" ht="12.75">
      <c r="B127" s="185"/>
      <c r="C127" s="111"/>
      <c r="D127" s="675"/>
      <c r="E127" s="675"/>
      <c r="F127" s="675"/>
      <c r="G127" s="675"/>
      <c r="H127" s="675"/>
      <c r="I127" s="675"/>
      <c r="J127" s="675"/>
      <c r="K127" s="675"/>
      <c r="L127" s="379"/>
      <c r="M127" s="379"/>
      <c r="N127" s="379"/>
      <c r="O127" s="379"/>
      <c r="P127" s="379"/>
      <c r="Q127" s="620" t="s">
        <v>192</v>
      </c>
      <c r="R127" s="379"/>
      <c r="S127" s="379"/>
      <c r="T127" s="401"/>
      <c r="U127" s="401"/>
      <c r="V127" s="548">
        <v>8</v>
      </c>
      <c r="W127" s="379"/>
      <c r="X127" s="561">
        <v>-1</v>
      </c>
      <c r="Y127" s="379"/>
      <c r="Z127" s="379"/>
      <c r="AA127" s="379"/>
      <c r="AB127" s="379"/>
      <c r="AC127" s="202"/>
    </row>
    <row r="128" spans="2:29" ht="12.75">
      <c r="B128" s="185"/>
      <c r="C128" s="111"/>
      <c r="D128" s="675"/>
      <c r="E128" s="675"/>
      <c r="F128" s="675"/>
      <c r="G128" s="675"/>
      <c r="H128" s="675"/>
      <c r="I128" s="675"/>
      <c r="J128" s="675"/>
      <c r="K128" s="675"/>
      <c r="L128" s="379"/>
      <c r="M128" s="379"/>
      <c r="N128" s="379"/>
      <c r="O128" s="379"/>
      <c r="P128" s="379"/>
      <c r="Q128" s="621" t="s">
        <v>139</v>
      </c>
      <c r="R128" s="402"/>
      <c r="S128" s="402"/>
      <c r="T128" s="403"/>
      <c r="U128" s="403"/>
      <c r="V128" s="402">
        <v>45</v>
      </c>
      <c r="W128" s="402"/>
      <c r="X128" s="384">
        <v>99</v>
      </c>
      <c r="Y128" s="379"/>
      <c r="Z128" s="379"/>
      <c r="AA128" s="379"/>
      <c r="AB128" s="379"/>
      <c r="AC128" s="202"/>
    </row>
    <row r="129" spans="2:29" ht="12.75">
      <c r="B129" s="397"/>
      <c r="C129" s="105"/>
      <c r="D129" s="102"/>
      <c r="E129" s="105"/>
      <c r="F129" s="106"/>
      <c r="G129" s="105"/>
      <c r="H129" s="105"/>
      <c r="I129" s="105"/>
      <c r="J129" s="106"/>
      <c r="K129" s="105"/>
      <c r="L129" s="105"/>
      <c r="M129" s="105"/>
      <c r="N129" s="235"/>
      <c r="O129" s="235"/>
      <c r="P129" s="235"/>
      <c r="Q129" s="105"/>
      <c r="R129" s="105"/>
      <c r="S129" s="105"/>
      <c r="T129" s="105"/>
      <c r="U129" s="105"/>
      <c r="V129" s="105"/>
      <c r="W129" s="235"/>
      <c r="X129" s="105"/>
      <c r="Y129" s="235"/>
      <c r="Z129" s="105"/>
      <c r="AA129" s="235"/>
      <c r="AB129" s="105"/>
      <c r="AC129" s="398"/>
    </row>
    <row r="130" spans="2:29" ht="13.5" thickBot="1">
      <c r="B130" s="375"/>
      <c r="C130" s="103"/>
      <c r="D130" s="101"/>
      <c r="E130" s="103"/>
      <c r="F130" s="104"/>
      <c r="G130" s="103"/>
      <c r="H130" s="103"/>
      <c r="I130" s="103"/>
      <c r="J130" s="104"/>
      <c r="K130" s="103"/>
      <c r="L130" s="103"/>
      <c r="M130" s="103"/>
      <c r="N130" s="109"/>
      <c r="O130" s="109"/>
      <c r="P130" s="109"/>
      <c r="Q130" s="103"/>
      <c r="R130" s="103"/>
      <c r="S130" s="103"/>
      <c r="T130" s="103"/>
      <c r="U130" s="103"/>
      <c r="V130" s="103"/>
      <c r="W130" s="109"/>
      <c r="X130" s="103"/>
      <c r="Y130" s="109"/>
      <c r="Z130" s="103"/>
      <c r="AA130" s="109"/>
      <c r="AB130" s="103"/>
      <c r="AC130" s="374"/>
    </row>
    <row r="131" spans="2:29" ht="57" thickTop="1">
      <c r="B131" s="98"/>
      <c r="C131" s="240"/>
      <c r="D131" s="1487" t="s">
        <v>199</v>
      </c>
      <c r="E131" s="1470"/>
      <c r="F131" s="1470"/>
      <c r="G131" s="1470"/>
      <c r="H131" s="1470"/>
      <c r="I131" s="1470"/>
      <c r="J131" s="1470"/>
      <c r="K131" s="1470"/>
      <c r="L131" s="1470"/>
      <c r="M131" s="1470"/>
      <c r="N131" s="1470"/>
      <c r="O131" s="1471"/>
      <c r="P131" s="236"/>
      <c r="Q131" s="1487" t="s">
        <v>143</v>
      </c>
      <c r="R131" s="1470"/>
      <c r="S131" s="1470"/>
      <c r="T131" s="1470"/>
      <c r="U131" s="1470"/>
      <c r="V131" s="1471"/>
      <c r="W131" s="236"/>
      <c r="X131" s="244" t="s">
        <v>183</v>
      </c>
      <c r="Y131" s="246"/>
      <c r="Z131" s="244" t="s">
        <v>184</v>
      </c>
      <c r="AA131" s="246"/>
      <c r="AB131" s="244" t="s">
        <v>185</v>
      </c>
      <c r="AC131" s="99"/>
    </row>
    <row r="132" spans="2:29" ht="15.75">
      <c r="B132" s="369"/>
      <c r="C132" s="370"/>
      <c r="D132" s="1472"/>
      <c r="E132" s="1473"/>
      <c r="F132" s="1473"/>
      <c r="G132" s="1473"/>
      <c r="H132" s="1473"/>
      <c r="I132" s="1473"/>
      <c r="J132" s="1473"/>
      <c r="K132" s="1473"/>
      <c r="L132" s="1473"/>
      <c r="M132" s="1473"/>
      <c r="N132" s="1473"/>
      <c r="O132" s="1513"/>
      <c r="P132" s="237"/>
      <c r="Q132" s="1483"/>
      <c r="R132" s="1484"/>
      <c r="S132" s="107"/>
      <c r="T132" s="108"/>
      <c r="U132" s="107"/>
      <c r="V132" s="238"/>
      <c r="W132" s="237"/>
      <c r="X132" s="241"/>
      <c r="Y132" s="237"/>
      <c r="Z132" s="241"/>
      <c r="AA132" s="237"/>
      <c r="AB132" s="241"/>
      <c r="AC132" s="371"/>
    </row>
    <row r="133" spans="2:29" ht="39.75">
      <c r="B133" s="185"/>
      <c r="C133" s="111"/>
      <c r="D133" s="1485" t="s">
        <v>332</v>
      </c>
      <c r="E133" s="1486"/>
      <c r="F133" s="239"/>
      <c r="G133" s="1480" t="s">
        <v>177</v>
      </c>
      <c r="H133" s="1481"/>
      <c r="I133" s="1482"/>
      <c r="J133" s="239"/>
      <c r="K133" s="259" t="s">
        <v>180</v>
      </c>
      <c r="L133" s="110"/>
      <c r="M133" s="259" t="s">
        <v>178</v>
      </c>
      <c r="N133" s="239"/>
      <c r="O133" s="260" t="s">
        <v>209</v>
      </c>
      <c r="P133" s="239"/>
      <c r="Q133" s="1485" t="s">
        <v>179</v>
      </c>
      <c r="R133" s="1486"/>
      <c r="S133" s="239"/>
      <c r="T133" s="257" t="s">
        <v>215</v>
      </c>
      <c r="U133" s="239"/>
      <c r="V133" s="261" t="s">
        <v>189</v>
      </c>
      <c r="W133" s="239"/>
      <c r="X133" s="262" t="s">
        <v>186</v>
      </c>
      <c r="Y133" s="239"/>
      <c r="Z133" s="262" t="s">
        <v>181</v>
      </c>
      <c r="AA133" s="239"/>
      <c r="AB133" s="262" t="s">
        <v>182</v>
      </c>
      <c r="AC133" s="202"/>
    </row>
    <row r="134" spans="2:29" ht="12.75">
      <c r="B134" s="441"/>
      <c r="C134" s="100"/>
      <c r="D134" s="541" t="s">
        <v>11</v>
      </c>
      <c r="E134" s="263"/>
      <c r="F134" s="110"/>
      <c r="G134" s="1517" t="s">
        <v>175</v>
      </c>
      <c r="H134" s="1517" t="s">
        <v>174</v>
      </c>
      <c r="I134" s="1517" t="s">
        <v>216</v>
      </c>
      <c r="J134" s="110"/>
      <c r="K134" s="267"/>
      <c r="L134" s="110"/>
      <c r="M134" s="267"/>
      <c r="N134" s="110"/>
      <c r="O134" s="268"/>
      <c r="P134" s="110"/>
      <c r="Q134" s="541"/>
      <c r="R134" s="263"/>
      <c r="S134" s="110"/>
      <c r="T134" s="897"/>
      <c r="U134" s="110"/>
      <c r="V134" s="268"/>
      <c r="W134" s="110"/>
      <c r="X134" s="242"/>
      <c r="Y134" s="110"/>
      <c r="Z134" s="242"/>
      <c r="AA134" s="110"/>
      <c r="AB134" s="242"/>
      <c r="AC134" s="442"/>
    </row>
    <row r="135" spans="2:29" ht="32.25" customHeight="1">
      <c r="B135" s="185"/>
      <c r="C135" s="111"/>
      <c r="D135" s="1519" t="s">
        <v>0</v>
      </c>
      <c r="E135" s="1520"/>
      <c r="F135" s="270"/>
      <c r="G135" s="1518"/>
      <c r="H135" s="1518"/>
      <c r="I135" s="1518"/>
      <c r="J135" s="270"/>
      <c r="K135" s="269"/>
      <c r="L135" s="270"/>
      <c r="M135" s="269"/>
      <c r="N135" s="270"/>
      <c r="O135" s="271"/>
      <c r="P135" s="234"/>
      <c r="Q135" s="1519" t="s">
        <v>0</v>
      </c>
      <c r="R135" s="1520"/>
      <c r="S135" s="234"/>
      <c r="T135" s="269"/>
      <c r="U135" s="234"/>
      <c r="V135" s="271"/>
      <c r="W135" s="234"/>
      <c r="X135" s="243"/>
      <c r="Y135" s="234"/>
      <c r="Z135" s="243"/>
      <c r="AA135" s="234"/>
      <c r="AB135" s="243"/>
      <c r="AC135" s="202"/>
    </row>
    <row r="136" spans="2:29" ht="12.75">
      <c r="B136" s="185"/>
      <c r="C136" s="111"/>
      <c r="D136" s="542" t="s">
        <v>7</v>
      </c>
      <c r="E136" s="543">
        <v>6346</v>
      </c>
      <c r="F136" s="544"/>
      <c r="G136" s="544">
        <v>-4</v>
      </c>
      <c r="H136" s="544">
        <v>-7</v>
      </c>
      <c r="I136" s="546"/>
      <c r="J136" s="544"/>
      <c r="K136" s="546">
        <v>6335</v>
      </c>
      <c r="L136" s="544"/>
      <c r="M136" s="544">
        <v>143</v>
      </c>
      <c r="N136" s="544"/>
      <c r="O136" s="547">
        <v>6192</v>
      </c>
      <c r="P136" s="548"/>
      <c r="Q136" s="542" t="s">
        <v>7</v>
      </c>
      <c r="R136" s="543">
        <v>5926</v>
      </c>
      <c r="S136" s="548"/>
      <c r="T136" s="546"/>
      <c r="U136" s="548"/>
      <c r="V136" s="822">
        <v>5926</v>
      </c>
      <c r="W136" s="548"/>
      <c r="X136" s="549">
        <v>-0.06618342262842736</v>
      </c>
      <c r="Y136" s="548"/>
      <c r="Z136" s="549">
        <v>-0.06456195737963699</v>
      </c>
      <c r="AA136" s="548"/>
      <c r="AB136" s="549">
        <v>-0.042958656330749356</v>
      </c>
      <c r="AC136" s="898"/>
    </row>
    <row r="137" spans="2:29" ht="12.75">
      <c r="B137" s="185"/>
      <c r="C137" s="111"/>
      <c r="D137" s="550" t="s">
        <v>145</v>
      </c>
      <c r="E137" s="551">
        <v>4108</v>
      </c>
      <c r="F137" s="552"/>
      <c r="G137" s="552">
        <v>-4</v>
      </c>
      <c r="H137" s="552">
        <v>-7</v>
      </c>
      <c r="I137" s="554"/>
      <c r="J137" s="552"/>
      <c r="K137" s="554">
        <v>4097</v>
      </c>
      <c r="L137" s="552"/>
      <c r="M137" s="552">
        <v>143</v>
      </c>
      <c r="N137" s="552"/>
      <c r="O137" s="555">
        <v>3954</v>
      </c>
      <c r="P137" s="548"/>
      <c r="Q137" s="550" t="s">
        <v>145</v>
      </c>
      <c r="R137" s="551">
        <v>3765</v>
      </c>
      <c r="S137" s="548"/>
      <c r="T137" s="554"/>
      <c r="U137" s="548"/>
      <c r="V137" s="823">
        <v>3765</v>
      </c>
      <c r="W137" s="548"/>
      <c r="X137" s="556">
        <v>-0.08349561830574492</v>
      </c>
      <c r="Y137" s="548"/>
      <c r="Z137" s="556">
        <v>-0.08103490358799126</v>
      </c>
      <c r="AA137" s="548"/>
      <c r="AB137" s="556">
        <v>-0.047799696509863376</v>
      </c>
      <c r="AC137" s="898"/>
    </row>
    <row r="138" spans="2:29" ht="12.75">
      <c r="B138" s="185"/>
      <c r="C138" s="111"/>
      <c r="D138" s="550" t="s">
        <v>130</v>
      </c>
      <c r="E138" s="551">
        <v>2583</v>
      </c>
      <c r="F138" s="552"/>
      <c r="G138" s="552"/>
      <c r="H138" s="552"/>
      <c r="I138" s="554"/>
      <c r="J138" s="552"/>
      <c r="K138" s="554">
        <v>2583</v>
      </c>
      <c r="L138" s="552"/>
      <c r="M138" s="552"/>
      <c r="N138" s="552"/>
      <c r="O138" s="555"/>
      <c r="P138" s="548"/>
      <c r="Q138" s="550" t="s">
        <v>130</v>
      </c>
      <c r="R138" s="551">
        <v>2513</v>
      </c>
      <c r="S138" s="548"/>
      <c r="T138" s="554"/>
      <c r="U138" s="548"/>
      <c r="V138" s="823">
        <v>2513</v>
      </c>
      <c r="W138" s="548"/>
      <c r="X138" s="556">
        <v>-0.027100271002710064</v>
      </c>
      <c r="Y138" s="548"/>
      <c r="Z138" s="556">
        <v>-0.027100271002710064</v>
      </c>
      <c r="AA138" s="548"/>
      <c r="AB138" s="556"/>
      <c r="AC138" s="898"/>
    </row>
    <row r="139" spans="2:29" ht="12.75">
      <c r="B139" s="185"/>
      <c r="C139" s="111"/>
      <c r="D139" s="557" t="s">
        <v>8</v>
      </c>
      <c r="E139" s="551">
        <v>235</v>
      </c>
      <c r="F139" s="552"/>
      <c r="G139" s="552">
        <v>100</v>
      </c>
      <c r="H139" s="552"/>
      <c r="I139" s="560"/>
      <c r="J139" s="552"/>
      <c r="K139" s="554">
        <v>335</v>
      </c>
      <c r="L139" s="552"/>
      <c r="M139" s="552"/>
      <c r="N139" s="552"/>
      <c r="O139" s="555"/>
      <c r="P139" s="548"/>
      <c r="Q139" s="557" t="s">
        <v>8</v>
      </c>
      <c r="R139" s="551">
        <v>411</v>
      </c>
      <c r="S139" s="548"/>
      <c r="T139" s="560"/>
      <c r="U139" s="548"/>
      <c r="V139" s="823">
        <v>411</v>
      </c>
      <c r="W139" s="548"/>
      <c r="X139" s="556">
        <v>0.7489361702127659</v>
      </c>
      <c r="Y139" s="548"/>
      <c r="Z139" s="556">
        <v>0.22686567164179094</v>
      </c>
      <c r="AA139" s="548"/>
      <c r="AB139" s="556"/>
      <c r="AC139" s="202"/>
    </row>
    <row r="140" spans="2:29" ht="12.75">
      <c r="B140" s="185"/>
      <c r="C140" s="111"/>
      <c r="D140" s="557" t="s">
        <v>31</v>
      </c>
      <c r="E140" s="551">
        <v>1070</v>
      </c>
      <c r="F140" s="552"/>
      <c r="G140" s="552"/>
      <c r="H140" s="552">
        <v>59</v>
      </c>
      <c r="I140" s="560"/>
      <c r="J140" s="552"/>
      <c r="K140" s="554">
        <v>1129</v>
      </c>
      <c r="L140" s="552"/>
      <c r="M140" s="552"/>
      <c r="N140" s="552"/>
      <c r="O140" s="555"/>
      <c r="P140" s="548"/>
      <c r="Q140" s="557" t="s">
        <v>31</v>
      </c>
      <c r="R140" s="551">
        <v>1281</v>
      </c>
      <c r="S140" s="548"/>
      <c r="T140" s="560"/>
      <c r="U140" s="548"/>
      <c r="V140" s="823">
        <v>1281</v>
      </c>
      <c r="W140" s="548"/>
      <c r="X140" s="556">
        <v>0.1971962616822429</v>
      </c>
      <c r="Y140" s="548"/>
      <c r="Z140" s="556">
        <v>0.146</v>
      </c>
      <c r="AA140" s="548"/>
      <c r="AB140" s="556"/>
      <c r="AC140" s="202"/>
    </row>
    <row r="141" spans="2:29" ht="12.75">
      <c r="B141" s="185"/>
      <c r="C141" s="111"/>
      <c r="D141" s="557" t="s">
        <v>89</v>
      </c>
      <c r="E141" s="551">
        <v>38</v>
      </c>
      <c r="F141" s="552"/>
      <c r="G141" s="552"/>
      <c r="H141" s="552"/>
      <c r="I141" s="560"/>
      <c r="J141" s="552"/>
      <c r="K141" s="554">
        <v>38</v>
      </c>
      <c r="L141" s="552"/>
      <c r="M141" s="552"/>
      <c r="N141" s="552"/>
      <c r="O141" s="555"/>
      <c r="P141" s="548"/>
      <c r="Q141" s="557" t="s">
        <v>89</v>
      </c>
      <c r="R141" s="551">
        <v>53</v>
      </c>
      <c r="S141" s="548"/>
      <c r="T141" s="560"/>
      <c r="U141" s="548"/>
      <c r="V141" s="823">
        <v>53</v>
      </c>
      <c r="W141" s="548"/>
      <c r="X141" s="556">
        <v>0.39473684210526305</v>
      </c>
      <c r="Y141" s="548"/>
      <c r="Z141" s="556">
        <v>0.39473684210526305</v>
      </c>
      <c r="AA141" s="548"/>
      <c r="AB141" s="556"/>
      <c r="AC141" s="202"/>
    </row>
    <row r="142" spans="2:29" ht="12.75">
      <c r="B142" s="185"/>
      <c r="C142" s="111"/>
      <c r="D142" s="557" t="s">
        <v>9</v>
      </c>
      <c r="E142" s="551">
        <v>86</v>
      </c>
      <c r="F142" s="552"/>
      <c r="G142" s="552">
        <v>1</v>
      </c>
      <c r="H142" s="552">
        <v>-1</v>
      </c>
      <c r="I142" s="560"/>
      <c r="J142" s="552"/>
      <c r="K142" s="554">
        <v>86</v>
      </c>
      <c r="L142" s="552"/>
      <c r="M142" s="552"/>
      <c r="N142" s="552"/>
      <c r="O142" s="555"/>
      <c r="P142" s="548"/>
      <c r="Q142" s="557" t="s">
        <v>9</v>
      </c>
      <c r="R142" s="551">
        <v>91</v>
      </c>
      <c r="S142" s="548"/>
      <c r="T142" s="560"/>
      <c r="U142" s="548"/>
      <c r="V142" s="823">
        <v>91</v>
      </c>
      <c r="W142" s="548"/>
      <c r="X142" s="556">
        <v>0.058139534883721034</v>
      </c>
      <c r="Y142" s="548"/>
      <c r="Z142" s="556">
        <v>0.058139534883721034</v>
      </c>
      <c r="AA142" s="548"/>
      <c r="AB142" s="556"/>
      <c r="AC142" s="202"/>
    </row>
    <row r="143" spans="2:29" ht="12.75">
      <c r="B143" s="185"/>
      <c r="C143" s="111"/>
      <c r="D143" s="557" t="s">
        <v>187</v>
      </c>
      <c r="E143" s="551">
        <v>53</v>
      </c>
      <c r="F143" s="552"/>
      <c r="G143" s="552"/>
      <c r="H143" s="552">
        <v>-4</v>
      </c>
      <c r="I143" s="560"/>
      <c r="J143" s="552"/>
      <c r="K143" s="554">
        <v>49</v>
      </c>
      <c r="L143" s="552"/>
      <c r="M143" s="552"/>
      <c r="N143" s="552"/>
      <c r="O143" s="555"/>
      <c r="P143" s="548"/>
      <c r="Q143" s="557" t="s">
        <v>187</v>
      </c>
      <c r="R143" s="551">
        <v>57</v>
      </c>
      <c r="S143" s="548"/>
      <c r="T143" s="560"/>
      <c r="U143" s="548"/>
      <c r="V143" s="823">
        <v>57</v>
      </c>
      <c r="W143" s="548"/>
      <c r="X143" s="556">
        <v>0.07547169811320753</v>
      </c>
      <c r="Y143" s="548"/>
      <c r="Z143" s="556">
        <v>0.16326530612244894</v>
      </c>
      <c r="AA143" s="548"/>
      <c r="AB143" s="556"/>
      <c r="AC143" s="202"/>
    </row>
    <row r="144" spans="2:29" ht="12.75">
      <c r="B144" s="185"/>
      <c r="C144" s="111"/>
      <c r="D144" s="619" t="s">
        <v>188</v>
      </c>
      <c r="E144" s="558">
        <v>-59</v>
      </c>
      <c r="F144" s="552"/>
      <c r="G144" s="552">
        <v>2</v>
      </c>
      <c r="H144" s="552"/>
      <c r="I144" s="560"/>
      <c r="J144" s="552"/>
      <c r="K144" s="560">
        <v>-57</v>
      </c>
      <c r="L144" s="552"/>
      <c r="M144" s="552"/>
      <c r="N144" s="552"/>
      <c r="O144" s="555"/>
      <c r="P144" s="548"/>
      <c r="Q144" s="619" t="s">
        <v>188</v>
      </c>
      <c r="R144" s="558">
        <v>-82</v>
      </c>
      <c r="S144" s="548"/>
      <c r="T144" s="560"/>
      <c r="U144" s="548"/>
      <c r="V144" s="824">
        <v>-82</v>
      </c>
      <c r="W144" s="548"/>
      <c r="X144" s="556"/>
      <c r="Y144" s="548"/>
      <c r="Z144" s="556"/>
      <c r="AA144" s="548"/>
      <c r="AB144" s="556"/>
      <c r="AC144" s="202"/>
    </row>
    <row r="145" spans="2:29" ht="13.5" thickBot="1">
      <c r="B145" s="185"/>
      <c r="C145" s="111"/>
      <c r="D145" s="272" t="s">
        <v>10</v>
      </c>
      <c r="E145" s="910">
        <v>7769</v>
      </c>
      <c r="F145" s="562"/>
      <c r="G145" s="275">
        <v>99</v>
      </c>
      <c r="H145" s="275">
        <v>47</v>
      </c>
      <c r="I145" s="274"/>
      <c r="J145" s="562"/>
      <c r="K145" s="274">
        <v>7915</v>
      </c>
      <c r="L145" s="552"/>
      <c r="M145" s="275">
        <v>143</v>
      </c>
      <c r="N145" s="552"/>
      <c r="O145" s="276">
        <v>7772</v>
      </c>
      <c r="P145" s="548"/>
      <c r="Q145" s="272" t="s">
        <v>10</v>
      </c>
      <c r="R145" s="910">
        <v>7737</v>
      </c>
      <c r="S145" s="548"/>
      <c r="T145" s="274"/>
      <c r="U145" s="548"/>
      <c r="V145" s="825">
        <v>7737</v>
      </c>
      <c r="W145" s="548"/>
      <c r="X145" s="277">
        <v>-0.004118934225769033</v>
      </c>
      <c r="Y145" s="548"/>
      <c r="Z145" s="277">
        <v>-0.022488945041061248</v>
      </c>
      <c r="AA145" s="548"/>
      <c r="AB145" s="278">
        <v>-0.004503345342254272</v>
      </c>
      <c r="AC145" s="202"/>
    </row>
    <row r="146" spans="2:29" ht="13.5" thickTop="1">
      <c r="B146" s="185"/>
      <c r="C146" s="111"/>
      <c r="D146" s="564"/>
      <c r="E146" s="565"/>
      <c r="F146" s="548"/>
      <c r="G146" s="566"/>
      <c r="H146" s="566"/>
      <c r="I146" s="566"/>
      <c r="J146" s="548"/>
      <c r="K146" s="566"/>
      <c r="L146" s="111"/>
      <c r="M146" s="111"/>
      <c r="N146" s="100"/>
      <c r="O146" s="568"/>
      <c r="P146" s="100"/>
      <c r="Q146" s="564"/>
      <c r="R146" s="565"/>
      <c r="S146" s="548"/>
      <c r="T146" s="566"/>
      <c r="U146" s="548"/>
      <c r="V146" s="826"/>
      <c r="W146" s="100"/>
      <c r="X146" s="569"/>
      <c r="Y146" s="100"/>
      <c r="Z146" s="569"/>
      <c r="AA146" s="100"/>
      <c r="AB146" s="570"/>
      <c r="AC146" s="202"/>
    </row>
    <row r="147" spans="2:29" ht="12.75">
      <c r="B147" s="185"/>
      <c r="C147" s="111"/>
      <c r="D147" s="258" t="s">
        <v>45</v>
      </c>
      <c r="E147" s="376"/>
      <c r="F147" s="234"/>
      <c r="G147" s="279"/>
      <c r="H147" s="279"/>
      <c r="I147" s="377"/>
      <c r="J147" s="234"/>
      <c r="K147" s="377"/>
      <c r="L147" s="234"/>
      <c r="M147" s="234"/>
      <c r="N147" s="234"/>
      <c r="O147" s="378"/>
      <c r="P147" s="234"/>
      <c r="Q147" s="258" t="s">
        <v>45</v>
      </c>
      <c r="R147" s="376"/>
      <c r="S147" s="234"/>
      <c r="T147" s="377"/>
      <c r="U147" s="234"/>
      <c r="V147" s="827"/>
      <c r="W147" s="234"/>
      <c r="X147" s="243"/>
      <c r="Y147" s="234"/>
      <c r="Z147" s="243"/>
      <c r="AA147" s="234"/>
      <c r="AB147" s="234"/>
      <c r="AC147" s="202"/>
    </row>
    <row r="148" spans="2:29" ht="12.75">
      <c r="B148" s="185"/>
      <c r="C148" s="111"/>
      <c r="D148" s="542" t="s">
        <v>7</v>
      </c>
      <c r="E148" s="543">
        <v>3010</v>
      </c>
      <c r="F148" s="573"/>
      <c r="G148" s="544"/>
      <c r="H148" s="544"/>
      <c r="I148" s="544">
        <v>15</v>
      </c>
      <c r="J148" s="573"/>
      <c r="K148" s="544">
        <v>3025</v>
      </c>
      <c r="L148" s="548"/>
      <c r="M148" s="548"/>
      <c r="N148" s="548"/>
      <c r="O148" s="575"/>
      <c r="P148" s="548"/>
      <c r="Q148" s="542" t="s">
        <v>7</v>
      </c>
      <c r="R148" s="543">
        <v>2821</v>
      </c>
      <c r="S148" s="548"/>
      <c r="T148" s="544">
        <v>16</v>
      </c>
      <c r="U148" s="548"/>
      <c r="V148" s="547">
        <v>2837</v>
      </c>
      <c r="W148" s="548"/>
      <c r="X148" s="549">
        <v>-0.06279069767441858</v>
      </c>
      <c r="Y148" s="548"/>
      <c r="Z148" s="549">
        <v>-0.06214876033057848</v>
      </c>
      <c r="AA148" s="548"/>
      <c r="AB148" s="548"/>
      <c r="AC148" s="898"/>
    </row>
    <row r="149" spans="2:29" ht="12.75">
      <c r="B149" s="185"/>
      <c r="C149" s="111"/>
      <c r="D149" s="557" t="s">
        <v>8</v>
      </c>
      <c r="E149" s="551">
        <v>26</v>
      </c>
      <c r="F149" s="548"/>
      <c r="G149" s="552">
        <v>16</v>
      </c>
      <c r="H149" s="552"/>
      <c r="I149" s="552"/>
      <c r="J149" s="548"/>
      <c r="K149" s="552">
        <v>42</v>
      </c>
      <c r="L149" s="548"/>
      <c r="M149" s="548"/>
      <c r="N149" s="548"/>
      <c r="O149" s="575"/>
      <c r="P149" s="548"/>
      <c r="Q149" s="557" t="s">
        <v>8</v>
      </c>
      <c r="R149" s="551">
        <v>73</v>
      </c>
      <c r="S149" s="548"/>
      <c r="T149" s="552">
        <v>2</v>
      </c>
      <c r="U149" s="548"/>
      <c r="V149" s="555">
        <v>75</v>
      </c>
      <c r="W149" s="548"/>
      <c r="X149" s="556">
        <v>1.8076923076923075</v>
      </c>
      <c r="Y149" s="548"/>
      <c r="Z149" s="556">
        <v>0.7857142857142858</v>
      </c>
      <c r="AA149" s="548"/>
      <c r="AB149" s="548"/>
      <c r="AC149" s="898"/>
    </row>
    <row r="150" spans="2:29" ht="12.75">
      <c r="B150" s="185"/>
      <c r="C150" s="111"/>
      <c r="D150" s="557" t="s">
        <v>31</v>
      </c>
      <c r="E150" s="551">
        <v>250</v>
      </c>
      <c r="F150" s="548"/>
      <c r="G150" s="552"/>
      <c r="H150" s="552">
        <v>14</v>
      </c>
      <c r="I150" s="552">
        <v>-5</v>
      </c>
      <c r="J150" s="548"/>
      <c r="K150" s="552">
        <v>259</v>
      </c>
      <c r="L150" s="548"/>
      <c r="M150" s="548"/>
      <c r="N150" s="548"/>
      <c r="O150" s="575"/>
      <c r="P150" s="548"/>
      <c r="Q150" s="557" t="s">
        <v>31</v>
      </c>
      <c r="R150" s="551">
        <v>239</v>
      </c>
      <c r="S150" s="548"/>
      <c r="T150" s="552"/>
      <c r="U150" s="548"/>
      <c r="V150" s="555">
        <v>239</v>
      </c>
      <c r="W150" s="548"/>
      <c r="X150" s="556">
        <v>-0.04400000000000004</v>
      </c>
      <c r="Y150" s="548"/>
      <c r="Z150" s="556">
        <v>-0.075</v>
      </c>
      <c r="AA150" s="548"/>
      <c r="AB150" s="548"/>
      <c r="AC150" s="898"/>
    </row>
    <row r="151" spans="2:29" ht="12.75">
      <c r="B151" s="185"/>
      <c r="C151" s="111"/>
      <c r="D151" s="557" t="s">
        <v>89</v>
      </c>
      <c r="E151" s="551">
        <v>-19</v>
      </c>
      <c r="F151" s="548"/>
      <c r="G151" s="552"/>
      <c r="H151" s="552"/>
      <c r="I151" s="552">
        <v>1</v>
      </c>
      <c r="J151" s="548"/>
      <c r="K151" s="552">
        <v>-18</v>
      </c>
      <c r="L151" s="379"/>
      <c r="M151" s="379"/>
      <c r="N151" s="379"/>
      <c r="O151" s="380"/>
      <c r="P151" s="379"/>
      <c r="Q151" s="557" t="s">
        <v>89</v>
      </c>
      <c r="R151" s="551">
        <v>-17</v>
      </c>
      <c r="S151" s="548"/>
      <c r="T151" s="552"/>
      <c r="U151" s="548"/>
      <c r="V151" s="555">
        <v>-17</v>
      </c>
      <c r="W151" s="379"/>
      <c r="X151" s="556">
        <v>0.10526315789473684</v>
      </c>
      <c r="Y151" s="379"/>
      <c r="Z151" s="556">
        <v>0.05555555555555558</v>
      </c>
      <c r="AA151" s="379"/>
      <c r="AB151" s="379"/>
      <c r="AC151" s="898"/>
    </row>
    <row r="152" spans="2:29" ht="12.75">
      <c r="B152" s="185"/>
      <c r="C152" s="111"/>
      <c r="D152" s="557" t="s">
        <v>9</v>
      </c>
      <c r="E152" s="551">
        <v>-10</v>
      </c>
      <c r="F152" s="548"/>
      <c r="G152" s="552"/>
      <c r="H152" s="552">
        <v>-1</v>
      </c>
      <c r="I152" s="552">
        <v>3</v>
      </c>
      <c r="J152" s="548"/>
      <c r="K152" s="552">
        <v>-8</v>
      </c>
      <c r="L152" s="548"/>
      <c r="M152" s="548"/>
      <c r="N152" s="548"/>
      <c r="O152" s="575"/>
      <c r="P152" s="548"/>
      <c r="Q152" s="557" t="s">
        <v>9</v>
      </c>
      <c r="R152" s="551">
        <v>-4</v>
      </c>
      <c r="S152" s="548"/>
      <c r="T152" s="552">
        <v>1</v>
      </c>
      <c r="U152" s="548"/>
      <c r="V152" s="555">
        <v>-3</v>
      </c>
      <c r="W152" s="548"/>
      <c r="X152" s="556">
        <v>0.6</v>
      </c>
      <c r="Y152" s="548"/>
      <c r="Z152" s="556">
        <v>0.625</v>
      </c>
      <c r="AA152" s="548"/>
      <c r="AB152" s="548"/>
      <c r="AC152" s="898"/>
    </row>
    <row r="153" spans="2:29" ht="12.75">
      <c r="B153" s="185"/>
      <c r="C153" s="111"/>
      <c r="D153" s="557" t="s">
        <v>187</v>
      </c>
      <c r="E153" s="551">
        <v>13</v>
      </c>
      <c r="F153" s="548"/>
      <c r="G153" s="552"/>
      <c r="H153" s="552">
        <v>-1</v>
      </c>
      <c r="I153" s="552">
        <v>5</v>
      </c>
      <c r="J153" s="548"/>
      <c r="K153" s="552">
        <v>17</v>
      </c>
      <c r="L153" s="548"/>
      <c r="M153" s="548"/>
      <c r="N153" s="548"/>
      <c r="O153" s="575"/>
      <c r="P153" s="548"/>
      <c r="Q153" s="557" t="s">
        <v>187</v>
      </c>
      <c r="R153" s="551">
        <v>25</v>
      </c>
      <c r="S153" s="548"/>
      <c r="T153" s="552"/>
      <c r="U153" s="548"/>
      <c r="V153" s="555">
        <v>25</v>
      </c>
      <c r="W153" s="548"/>
      <c r="X153" s="556">
        <v>0.9230769230769231</v>
      </c>
      <c r="Y153" s="548"/>
      <c r="Z153" s="556">
        <v>0.47058823529411775</v>
      </c>
      <c r="AA153" s="548"/>
      <c r="AB153" s="548"/>
      <c r="AC153" s="898"/>
    </row>
    <row r="154" spans="2:29" ht="12.75">
      <c r="B154" s="185"/>
      <c r="C154" s="111"/>
      <c r="D154" s="619" t="s">
        <v>188</v>
      </c>
      <c r="E154" s="558">
        <v>-2</v>
      </c>
      <c r="F154" s="548"/>
      <c r="G154" s="552"/>
      <c r="H154" s="552"/>
      <c r="I154" s="552"/>
      <c r="J154" s="548"/>
      <c r="K154" s="552">
        <v>-2</v>
      </c>
      <c r="L154" s="548"/>
      <c r="M154" s="548"/>
      <c r="N154" s="548"/>
      <c r="O154" s="548"/>
      <c r="P154" s="578"/>
      <c r="Q154" s="619" t="s">
        <v>188</v>
      </c>
      <c r="R154" s="558">
        <v>2</v>
      </c>
      <c r="S154" s="548"/>
      <c r="T154" s="552">
        <v>-1</v>
      </c>
      <c r="U154" s="548"/>
      <c r="V154" s="555">
        <v>1</v>
      </c>
      <c r="W154" s="548"/>
      <c r="X154" s="556"/>
      <c r="Y154" s="548"/>
      <c r="Z154" s="556"/>
      <c r="AA154" s="548"/>
      <c r="AB154" s="548"/>
      <c r="AC154" s="898"/>
    </row>
    <row r="155" spans="2:29" ht="12.75">
      <c r="B155" s="185"/>
      <c r="C155" s="111"/>
      <c r="D155" s="272" t="s">
        <v>10</v>
      </c>
      <c r="E155" s="910">
        <v>3268</v>
      </c>
      <c r="F155" s="579"/>
      <c r="G155" s="275">
        <v>16</v>
      </c>
      <c r="H155" s="275">
        <v>12</v>
      </c>
      <c r="I155" s="275">
        <v>19</v>
      </c>
      <c r="J155" s="579"/>
      <c r="K155" s="275">
        <v>3315</v>
      </c>
      <c r="L155" s="548"/>
      <c r="M155" s="548"/>
      <c r="N155" s="548"/>
      <c r="O155" s="548"/>
      <c r="P155" s="578"/>
      <c r="Q155" s="272" t="s">
        <v>10</v>
      </c>
      <c r="R155" s="910">
        <v>3139</v>
      </c>
      <c r="S155" s="548"/>
      <c r="T155" s="275">
        <v>18</v>
      </c>
      <c r="U155" s="548"/>
      <c r="V155" s="276">
        <v>3157</v>
      </c>
      <c r="W155" s="548"/>
      <c r="X155" s="277">
        <v>-0.03947368421052633</v>
      </c>
      <c r="Y155" s="548"/>
      <c r="Z155" s="277">
        <v>-0.04766214177978889</v>
      </c>
      <c r="AA155" s="548"/>
      <c r="AB155" s="548"/>
      <c r="AC155" s="202"/>
    </row>
    <row r="156" spans="2:29" ht="12.75">
      <c r="B156" s="185"/>
      <c r="C156" s="568"/>
      <c r="D156" s="581"/>
      <c r="E156" s="561"/>
      <c r="F156" s="548"/>
      <c r="G156" s="577"/>
      <c r="H156" s="577"/>
      <c r="I156" s="552"/>
      <c r="J156" s="548"/>
      <c r="K156" s="552"/>
      <c r="L156" s="548"/>
      <c r="M156" s="548"/>
      <c r="N156" s="548"/>
      <c r="O156" s="548"/>
      <c r="P156" s="578"/>
      <c r="Q156" s="581"/>
      <c r="R156" s="561"/>
      <c r="S156" s="573"/>
      <c r="T156" s="552"/>
      <c r="U156" s="573"/>
      <c r="V156" s="555"/>
      <c r="W156" s="548"/>
      <c r="X156" s="578"/>
      <c r="Y156" s="548"/>
      <c r="Z156" s="578"/>
      <c r="AA156" s="548"/>
      <c r="AB156" s="548"/>
      <c r="AC156" s="202"/>
    </row>
    <row r="157" spans="2:29" ht="12.75">
      <c r="B157" s="185"/>
      <c r="C157" s="111"/>
      <c r="D157" s="258" t="s">
        <v>67</v>
      </c>
      <c r="E157" s="583"/>
      <c r="F157" s="548"/>
      <c r="G157" s="577"/>
      <c r="H157" s="577"/>
      <c r="I157" s="552"/>
      <c r="J157" s="548"/>
      <c r="K157" s="552"/>
      <c r="L157" s="548"/>
      <c r="M157" s="548"/>
      <c r="N157" s="548"/>
      <c r="O157" s="548"/>
      <c r="P157" s="578"/>
      <c r="Q157" s="258" t="s">
        <v>67</v>
      </c>
      <c r="R157" s="583"/>
      <c r="S157" s="548"/>
      <c r="T157" s="552"/>
      <c r="U157" s="548"/>
      <c r="V157" s="555"/>
      <c r="W157" s="548"/>
      <c r="X157" s="578"/>
      <c r="Y157" s="548"/>
      <c r="Z157" s="578"/>
      <c r="AA157" s="548"/>
      <c r="AB157" s="548"/>
      <c r="AC157" s="202"/>
    </row>
    <row r="158" spans="2:29" ht="12.75">
      <c r="B158" s="185"/>
      <c r="C158" s="111"/>
      <c r="D158" s="542" t="s">
        <v>7</v>
      </c>
      <c r="E158" s="584">
        <v>0.4743145288370627</v>
      </c>
      <c r="F158" s="573"/>
      <c r="G158" s="585"/>
      <c r="H158" s="585"/>
      <c r="I158" s="544"/>
      <c r="J158" s="573"/>
      <c r="K158" s="586">
        <v>0.47750591949486976</v>
      </c>
      <c r="L158" s="548"/>
      <c r="M158" s="548"/>
      <c r="N158" s="548"/>
      <c r="O158" s="548"/>
      <c r="P158" s="578"/>
      <c r="Q158" s="542" t="s">
        <v>7</v>
      </c>
      <c r="R158" s="584">
        <v>0.4760377995275059</v>
      </c>
      <c r="S158" s="548"/>
      <c r="T158" s="544"/>
      <c r="U158" s="548"/>
      <c r="V158" s="828">
        <v>0.47873776577792776</v>
      </c>
      <c r="W158" s="548"/>
      <c r="X158" s="587">
        <v>0.17232706904432016</v>
      </c>
      <c r="Y158" s="548"/>
      <c r="Z158" s="587">
        <v>0.12318462830580024</v>
      </c>
      <c r="AA158" s="548"/>
      <c r="AB158" s="548"/>
      <c r="AC158" s="202"/>
    </row>
    <row r="159" spans="2:29" ht="12.75">
      <c r="B159" s="185"/>
      <c r="C159" s="111"/>
      <c r="D159" s="557" t="s">
        <v>8</v>
      </c>
      <c r="E159" s="588">
        <v>0.11063829787234042</v>
      </c>
      <c r="F159" s="548"/>
      <c r="G159" s="577"/>
      <c r="H159" s="577"/>
      <c r="I159" s="552"/>
      <c r="J159" s="548"/>
      <c r="K159" s="589">
        <v>0.1253731343283582</v>
      </c>
      <c r="L159" s="548"/>
      <c r="M159" s="548"/>
      <c r="N159" s="548"/>
      <c r="O159" s="575"/>
      <c r="P159" s="548"/>
      <c r="Q159" s="557" t="s">
        <v>8</v>
      </c>
      <c r="R159" s="588">
        <v>0.17761557177615572</v>
      </c>
      <c r="S159" s="548"/>
      <c r="T159" s="552"/>
      <c r="U159" s="548"/>
      <c r="V159" s="829">
        <v>0.18248175182481752</v>
      </c>
      <c r="W159" s="548"/>
      <c r="X159" s="590">
        <v>6.69772739038153</v>
      </c>
      <c r="Y159" s="548"/>
      <c r="Z159" s="590">
        <v>5.7108617496459315</v>
      </c>
      <c r="AA159" s="548"/>
      <c r="AB159" s="548"/>
      <c r="AC159" s="202"/>
    </row>
    <row r="160" spans="2:31" ht="12.75">
      <c r="B160" s="185"/>
      <c r="C160" s="111"/>
      <c r="D160" s="557" t="s">
        <v>31</v>
      </c>
      <c r="E160" s="588">
        <v>0.2336448598130841</v>
      </c>
      <c r="F160" s="379"/>
      <c r="G160" s="280"/>
      <c r="H160" s="280"/>
      <c r="I160" s="383"/>
      <c r="J160" s="379"/>
      <c r="K160" s="589">
        <v>0.22940655447298494</v>
      </c>
      <c r="L160" s="379"/>
      <c r="M160" s="379"/>
      <c r="N160" s="379"/>
      <c r="O160" s="380"/>
      <c r="P160" s="379"/>
      <c r="Q160" s="557" t="s">
        <v>31</v>
      </c>
      <c r="R160" s="588">
        <v>0.1865729898516784</v>
      </c>
      <c r="S160" s="379"/>
      <c r="T160" s="383"/>
      <c r="U160" s="379"/>
      <c r="V160" s="829">
        <v>0.1865729898516784</v>
      </c>
      <c r="W160" s="379"/>
      <c r="X160" s="590">
        <v>-4.707186996140572</v>
      </c>
      <c r="Y160" s="379"/>
      <c r="Z160" s="590">
        <v>-4.283356462130655</v>
      </c>
      <c r="AA160" s="379"/>
      <c r="AB160" s="379"/>
      <c r="AC160" s="202"/>
      <c r="AE160" s="97"/>
    </row>
    <row r="161" spans="2:31" ht="12.75">
      <c r="B161" s="185"/>
      <c r="C161" s="111"/>
      <c r="D161" s="557" t="s">
        <v>89</v>
      </c>
      <c r="E161" s="588">
        <v>-0.5</v>
      </c>
      <c r="F161" s="379"/>
      <c r="G161" s="280"/>
      <c r="H161" s="280"/>
      <c r="I161" s="383"/>
      <c r="J161" s="379"/>
      <c r="K161" s="589">
        <v>-0.47368421052631576</v>
      </c>
      <c r="L161" s="379"/>
      <c r="M161" s="379"/>
      <c r="N161" s="379"/>
      <c r="O161" s="380"/>
      <c r="P161" s="379"/>
      <c r="Q161" s="557" t="s">
        <v>89</v>
      </c>
      <c r="R161" s="588">
        <v>-0.32075471698113206</v>
      </c>
      <c r="S161" s="379"/>
      <c r="T161" s="383"/>
      <c r="U161" s="379"/>
      <c r="V161" s="829">
        <v>-0.32075471698113206</v>
      </c>
      <c r="W161" s="379"/>
      <c r="X161" s="590">
        <v>17.924528301886795</v>
      </c>
      <c r="Y161" s="379"/>
      <c r="Z161" s="590">
        <v>15.29294935451837</v>
      </c>
      <c r="AA161" s="379"/>
      <c r="AB161" s="379"/>
      <c r="AC161" s="202"/>
      <c r="AE161" s="97"/>
    </row>
    <row r="162" spans="2:31" ht="12.75">
      <c r="B162" s="185"/>
      <c r="C162" s="111"/>
      <c r="D162" s="557" t="s">
        <v>9</v>
      </c>
      <c r="E162" s="588">
        <v>-0.11627906976744186</v>
      </c>
      <c r="F162" s="379"/>
      <c r="G162" s="280"/>
      <c r="H162" s="280"/>
      <c r="I162" s="383"/>
      <c r="J162" s="379"/>
      <c r="K162" s="589">
        <v>-0.09302325581395349</v>
      </c>
      <c r="L162" s="379"/>
      <c r="M162" s="379"/>
      <c r="N162" s="379"/>
      <c r="O162" s="380"/>
      <c r="P162" s="379"/>
      <c r="Q162" s="557" t="s">
        <v>9</v>
      </c>
      <c r="R162" s="588">
        <v>-0.04395604395604396</v>
      </c>
      <c r="S162" s="379"/>
      <c r="T162" s="383"/>
      <c r="U162" s="379"/>
      <c r="V162" s="829">
        <v>-0.03296703296703297</v>
      </c>
      <c r="W162" s="379"/>
      <c r="X162" s="590">
        <v>7.23230258113979</v>
      </c>
      <c r="Y162" s="379"/>
      <c r="Z162" s="590">
        <v>6.005622284692052</v>
      </c>
      <c r="AA162" s="379"/>
      <c r="AB162" s="379"/>
      <c r="AC162" s="202"/>
      <c r="AE162" s="97"/>
    </row>
    <row r="163" spans="2:31" ht="12.75">
      <c r="B163" s="185"/>
      <c r="C163" s="111"/>
      <c r="D163" s="272" t="s">
        <v>10</v>
      </c>
      <c r="E163" s="281">
        <v>0.42064615780666753</v>
      </c>
      <c r="F163" s="592"/>
      <c r="G163" s="593"/>
      <c r="H163" s="593"/>
      <c r="I163" s="593"/>
      <c r="J163" s="592"/>
      <c r="K163" s="282">
        <v>0.41882501579279846</v>
      </c>
      <c r="L163" s="100"/>
      <c r="M163" s="100"/>
      <c r="N163" s="100"/>
      <c r="O163" s="595"/>
      <c r="P163" s="100"/>
      <c r="Q163" s="272" t="s">
        <v>10</v>
      </c>
      <c r="R163" s="281">
        <v>0.40571280858213776</v>
      </c>
      <c r="S163" s="100"/>
      <c r="T163" s="593"/>
      <c r="U163" s="100"/>
      <c r="V163" s="830">
        <v>0.4080392917151351</v>
      </c>
      <c r="W163" s="100"/>
      <c r="X163" s="596">
        <v>-1.4933349224529768</v>
      </c>
      <c r="Y163" s="100"/>
      <c r="Z163" s="596">
        <v>-1.0785724077663372</v>
      </c>
      <c r="AA163" s="100"/>
      <c r="AB163" s="100"/>
      <c r="AC163" s="202"/>
      <c r="AE163" s="97"/>
    </row>
    <row r="164" spans="2:29" ht="12.75">
      <c r="B164" s="185"/>
      <c r="C164" s="111"/>
      <c r="D164" s="283"/>
      <c r="E164" s="284"/>
      <c r="F164" s="100"/>
      <c r="G164" s="597"/>
      <c r="H164" s="597"/>
      <c r="I164" s="597"/>
      <c r="J164" s="100"/>
      <c r="K164" s="597"/>
      <c r="L164" s="100"/>
      <c r="M164" s="100"/>
      <c r="N164" s="100"/>
      <c r="O164" s="595"/>
      <c r="P164" s="100"/>
      <c r="Q164" s="283"/>
      <c r="R164" s="284"/>
      <c r="S164" s="100"/>
      <c r="T164" s="597"/>
      <c r="U164" s="100"/>
      <c r="V164" s="831"/>
      <c r="W164" s="100"/>
      <c r="X164" s="599"/>
      <c r="Y164" s="100"/>
      <c r="Z164" s="599"/>
      <c r="AA164" s="100"/>
      <c r="AB164" s="100"/>
      <c r="AC164" s="202"/>
    </row>
    <row r="165" spans="2:31" s="97" customFormat="1" ht="12.75">
      <c r="B165" s="441"/>
      <c r="C165" s="100"/>
      <c r="D165" s="258" t="s">
        <v>47</v>
      </c>
      <c r="E165" s="376"/>
      <c r="F165" s="234"/>
      <c r="G165" s="279"/>
      <c r="H165" s="279"/>
      <c r="I165" s="377"/>
      <c r="J165" s="234"/>
      <c r="K165" s="377"/>
      <c r="L165" s="234"/>
      <c r="M165" s="234"/>
      <c r="N165" s="234"/>
      <c r="O165" s="378"/>
      <c r="P165" s="234"/>
      <c r="Q165" s="258" t="s">
        <v>47</v>
      </c>
      <c r="R165" s="376"/>
      <c r="S165" s="234"/>
      <c r="T165" s="377"/>
      <c r="U165" s="234"/>
      <c r="V165" s="827"/>
      <c r="W165" s="234"/>
      <c r="X165" s="243"/>
      <c r="Y165" s="234"/>
      <c r="Z165" s="243"/>
      <c r="AA165" s="234"/>
      <c r="AB165" s="234"/>
      <c r="AC165" s="442"/>
      <c r="AE165" s="88"/>
    </row>
    <row r="166" spans="2:31" s="97" customFormat="1" ht="12.75">
      <c r="B166" s="441"/>
      <c r="C166" s="100"/>
      <c r="D166" s="612" t="s">
        <v>7</v>
      </c>
      <c r="E166" s="600">
        <v>1846</v>
      </c>
      <c r="F166" s="573"/>
      <c r="G166" s="544"/>
      <c r="H166" s="544">
        <v>-1</v>
      </c>
      <c r="I166" s="544">
        <v>23</v>
      </c>
      <c r="J166" s="573"/>
      <c r="K166" s="544">
        <v>1868</v>
      </c>
      <c r="L166" s="548"/>
      <c r="M166" s="548"/>
      <c r="N166" s="548"/>
      <c r="O166" s="575"/>
      <c r="P166" s="548"/>
      <c r="Q166" s="612" t="s">
        <v>7</v>
      </c>
      <c r="R166" s="600">
        <v>1728</v>
      </c>
      <c r="S166" s="548"/>
      <c r="T166" s="544">
        <v>15</v>
      </c>
      <c r="U166" s="548"/>
      <c r="V166" s="547">
        <v>1743</v>
      </c>
      <c r="W166" s="548"/>
      <c r="X166" s="549">
        <v>-0.06392199349945826</v>
      </c>
      <c r="Y166" s="548"/>
      <c r="Z166" s="549">
        <v>-0.06691648822269802</v>
      </c>
      <c r="AA166" s="548"/>
      <c r="AB166" s="548"/>
      <c r="AC166" s="618"/>
      <c r="AE166" s="88"/>
    </row>
    <row r="167" spans="2:31" s="97" customFormat="1" ht="12.75">
      <c r="B167" s="441"/>
      <c r="C167" s="100"/>
      <c r="D167" s="619" t="s">
        <v>8</v>
      </c>
      <c r="E167" s="561">
        <v>-28</v>
      </c>
      <c r="F167" s="548"/>
      <c r="G167" s="552">
        <v>13</v>
      </c>
      <c r="H167" s="552"/>
      <c r="I167" s="552"/>
      <c r="J167" s="548"/>
      <c r="K167" s="552">
        <v>-15</v>
      </c>
      <c r="L167" s="548"/>
      <c r="M167" s="548"/>
      <c r="N167" s="548"/>
      <c r="O167" s="575"/>
      <c r="P167" s="548"/>
      <c r="Q167" s="619" t="s">
        <v>8</v>
      </c>
      <c r="R167" s="561">
        <v>-7</v>
      </c>
      <c r="S167" s="548"/>
      <c r="T167" s="552">
        <v>2</v>
      </c>
      <c r="U167" s="548"/>
      <c r="V167" s="555">
        <v>-5</v>
      </c>
      <c r="W167" s="548"/>
      <c r="X167" s="556">
        <v>0.75</v>
      </c>
      <c r="Y167" s="548"/>
      <c r="Z167" s="556">
        <v>0.6666666666666667</v>
      </c>
      <c r="AA167" s="548"/>
      <c r="AB167" s="548"/>
      <c r="AC167" s="618"/>
      <c r="AE167" s="88"/>
    </row>
    <row r="168" spans="2:29" ht="12.75">
      <c r="B168" s="185"/>
      <c r="C168" s="111"/>
      <c r="D168" s="619" t="s">
        <v>31</v>
      </c>
      <c r="E168" s="561">
        <v>31</v>
      </c>
      <c r="F168" s="548"/>
      <c r="G168" s="552"/>
      <c r="H168" s="552">
        <v>1</v>
      </c>
      <c r="I168" s="552">
        <v>-5</v>
      </c>
      <c r="J168" s="548"/>
      <c r="K168" s="552">
        <v>27</v>
      </c>
      <c r="L168" s="548"/>
      <c r="M168" s="548"/>
      <c r="N168" s="548"/>
      <c r="O168" s="575"/>
      <c r="P168" s="548"/>
      <c r="Q168" s="619" t="s">
        <v>31</v>
      </c>
      <c r="R168" s="561">
        <v>-25</v>
      </c>
      <c r="S168" s="548"/>
      <c r="T168" s="552"/>
      <c r="U168" s="548"/>
      <c r="V168" s="555">
        <v>-25</v>
      </c>
      <c r="W168" s="548"/>
      <c r="X168" s="556"/>
      <c r="Y168" s="548"/>
      <c r="Z168" s="556"/>
      <c r="AA168" s="548"/>
      <c r="AB168" s="548"/>
      <c r="AC168" s="898"/>
    </row>
    <row r="169" spans="2:29" ht="12.75">
      <c r="B169" s="185"/>
      <c r="C169" s="111"/>
      <c r="D169" s="619" t="s">
        <v>89</v>
      </c>
      <c r="E169" s="561">
        <v>-32</v>
      </c>
      <c r="F169" s="548"/>
      <c r="G169" s="552"/>
      <c r="H169" s="552"/>
      <c r="I169" s="552"/>
      <c r="J169" s="548"/>
      <c r="K169" s="552">
        <v>-32</v>
      </c>
      <c r="L169" s="379"/>
      <c r="M169" s="379"/>
      <c r="N169" s="379"/>
      <c r="O169" s="380"/>
      <c r="P169" s="379"/>
      <c r="Q169" s="619" t="s">
        <v>89</v>
      </c>
      <c r="R169" s="561">
        <v>-32</v>
      </c>
      <c r="S169" s="548"/>
      <c r="T169" s="552"/>
      <c r="U169" s="548"/>
      <c r="V169" s="555">
        <v>-32</v>
      </c>
      <c r="W169" s="379"/>
      <c r="X169" s="556"/>
      <c r="Y169" s="379"/>
      <c r="Z169" s="556"/>
      <c r="AA169" s="379"/>
      <c r="AB169" s="548"/>
      <c r="AC169" s="898"/>
    </row>
    <row r="170" spans="2:29" ht="12.75">
      <c r="B170" s="185"/>
      <c r="C170" s="111"/>
      <c r="D170" s="619" t="s">
        <v>9</v>
      </c>
      <c r="E170" s="561">
        <v>-14</v>
      </c>
      <c r="F170" s="548"/>
      <c r="G170" s="552"/>
      <c r="H170" s="552">
        <v>-1</v>
      </c>
      <c r="I170" s="552">
        <v>2</v>
      </c>
      <c r="J170" s="548"/>
      <c r="K170" s="552">
        <v>-13</v>
      </c>
      <c r="L170" s="548"/>
      <c r="M170" s="548"/>
      <c r="N170" s="548"/>
      <c r="O170" s="575"/>
      <c r="P170" s="548"/>
      <c r="Q170" s="619" t="s">
        <v>9</v>
      </c>
      <c r="R170" s="561">
        <v>-8</v>
      </c>
      <c r="S170" s="548"/>
      <c r="T170" s="552">
        <v>1</v>
      </c>
      <c r="U170" s="548"/>
      <c r="V170" s="555">
        <v>-7</v>
      </c>
      <c r="W170" s="548"/>
      <c r="X170" s="556">
        <v>0.4285714285714286</v>
      </c>
      <c r="Y170" s="548"/>
      <c r="Z170" s="556">
        <v>0.46153846153846156</v>
      </c>
      <c r="AA170" s="548"/>
      <c r="AB170" s="548"/>
      <c r="AC170" s="898"/>
    </row>
    <row r="171" spans="2:29" ht="12.75">
      <c r="B171" s="185"/>
      <c r="C171" s="111"/>
      <c r="D171" s="619" t="s">
        <v>187</v>
      </c>
      <c r="E171" s="561">
        <v>3</v>
      </c>
      <c r="F171" s="548"/>
      <c r="G171" s="552"/>
      <c r="H171" s="552">
        <v>-1</v>
      </c>
      <c r="I171" s="552">
        <v>7</v>
      </c>
      <c r="J171" s="548"/>
      <c r="K171" s="552">
        <v>9</v>
      </c>
      <c r="L171" s="548"/>
      <c r="M171" s="548"/>
      <c r="N171" s="548"/>
      <c r="O171" s="575"/>
      <c r="P171" s="548"/>
      <c r="Q171" s="619" t="s">
        <v>187</v>
      </c>
      <c r="R171" s="561">
        <v>17</v>
      </c>
      <c r="S171" s="548"/>
      <c r="T171" s="552"/>
      <c r="U171" s="548"/>
      <c r="V171" s="555">
        <v>17</v>
      </c>
      <c r="W171" s="548"/>
      <c r="X171" s="556"/>
      <c r="Y171" s="548"/>
      <c r="Z171" s="556">
        <v>0.8888888888888888</v>
      </c>
      <c r="AA171" s="548"/>
      <c r="AB171" s="548"/>
      <c r="AC171" s="898"/>
    </row>
    <row r="172" spans="2:31" ht="12.75">
      <c r="B172" s="185"/>
      <c r="C172" s="111"/>
      <c r="D172" s="619" t="s">
        <v>188</v>
      </c>
      <c r="E172" s="561">
        <v>14</v>
      </c>
      <c r="F172" s="548"/>
      <c r="G172" s="552"/>
      <c r="H172" s="552"/>
      <c r="I172" s="552">
        <v>1</v>
      </c>
      <c r="J172" s="548"/>
      <c r="K172" s="552">
        <v>15</v>
      </c>
      <c r="L172" s="548"/>
      <c r="M172" s="548"/>
      <c r="N172" s="548"/>
      <c r="O172" s="575"/>
      <c r="P172" s="548"/>
      <c r="Q172" s="619" t="s">
        <v>188</v>
      </c>
      <c r="R172" s="561">
        <v>16</v>
      </c>
      <c r="S172" s="548"/>
      <c r="T172" s="552">
        <v>-2</v>
      </c>
      <c r="U172" s="548"/>
      <c r="V172" s="555">
        <v>14</v>
      </c>
      <c r="W172" s="548"/>
      <c r="X172" s="556"/>
      <c r="Y172" s="548"/>
      <c r="Z172" s="556"/>
      <c r="AA172" s="548"/>
      <c r="AB172" s="548"/>
      <c r="AC172" s="898"/>
      <c r="AE172" s="97"/>
    </row>
    <row r="173" spans="2:31" s="97" customFormat="1" ht="25.5" customHeight="1">
      <c r="B173" s="185"/>
      <c r="C173" s="111"/>
      <c r="D173" s="272" t="s">
        <v>10</v>
      </c>
      <c r="E173" s="384">
        <v>1820</v>
      </c>
      <c r="F173" s="579"/>
      <c r="G173" s="275">
        <v>13</v>
      </c>
      <c r="H173" s="275">
        <v>-2</v>
      </c>
      <c r="I173" s="275">
        <v>28</v>
      </c>
      <c r="J173" s="579"/>
      <c r="K173" s="275">
        <v>1859</v>
      </c>
      <c r="L173" s="548"/>
      <c r="M173" s="548"/>
      <c r="N173" s="548"/>
      <c r="O173" s="575"/>
      <c r="P173" s="548"/>
      <c r="Q173" s="272" t="s">
        <v>10</v>
      </c>
      <c r="R173" s="384">
        <v>1689</v>
      </c>
      <c r="S173" s="548"/>
      <c r="T173" s="275">
        <v>16</v>
      </c>
      <c r="U173" s="548"/>
      <c r="V173" s="276">
        <v>1705</v>
      </c>
      <c r="W173" s="548"/>
      <c r="X173" s="277">
        <v>-0.07197802197802194</v>
      </c>
      <c r="Y173" s="548"/>
      <c r="Z173" s="277">
        <v>-0.08284023668639051</v>
      </c>
      <c r="AA173" s="548"/>
      <c r="AB173" s="548"/>
      <c r="AC173" s="202"/>
      <c r="AE173" s="88"/>
    </row>
    <row r="174" spans="2:29" ht="16.5" customHeight="1">
      <c r="B174" s="185"/>
      <c r="C174" s="111"/>
      <c r="D174" s="581"/>
      <c r="E174" s="561"/>
      <c r="F174" s="548"/>
      <c r="G174" s="577"/>
      <c r="H174" s="577"/>
      <c r="I174" s="552"/>
      <c r="J174" s="548"/>
      <c r="K174" s="552"/>
      <c r="L174" s="548"/>
      <c r="M174" s="548"/>
      <c r="N174" s="548"/>
      <c r="O174" s="575"/>
      <c r="P174" s="548"/>
      <c r="Q174" s="581"/>
      <c r="R174" s="561"/>
      <c r="S174" s="548"/>
      <c r="T174" s="552"/>
      <c r="U174" s="548"/>
      <c r="V174" s="555"/>
      <c r="W174" s="548"/>
      <c r="X174" s="578"/>
      <c r="Y174" s="548"/>
      <c r="Z174" s="578"/>
      <c r="AA174" s="548"/>
      <c r="AB174" s="548"/>
      <c r="AC174" s="202"/>
    </row>
    <row r="175" spans="2:29" ht="22.5" customHeight="1">
      <c r="B175" s="185"/>
      <c r="C175" s="111"/>
      <c r="D175" s="258" t="s">
        <v>69</v>
      </c>
      <c r="E175" s="583"/>
      <c r="F175" s="548"/>
      <c r="G175" s="577"/>
      <c r="H175" s="577"/>
      <c r="I175" s="552"/>
      <c r="J175" s="548"/>
      <c r="K175" s="552"/>
      <c r="L175" s="548"/>
      <c r="M175" s="548"/>
      <c r="N175" s="548"/>
      <c r="O175" s="575"/>
      <c r="P175" s="548"/>
      <c r="Q175" s="258" t="s">
        <v>69</v>
      </c>
      <c r="R175" s="583"/>
      <c r="S175" s="548"/>
      <c r="T175" s="552"/>
      <c r="U175" s="548"/>
      <c r="V175" s="555"/>
      <c r="W175" s="548"/>
      <c r="X175" s="578"/>
      <c r="Y175" s="548"/>
      <c r="Z175" s="578"/>
      <c r="AA175" s="548"/>
      <c r="AB175" s="548"/>
      <c r="AC175" s="202"/>
    </row>
    <row r="176" spans="2:31" s="97" customFormat="1" ht="12.75">
      <c r="B176" s="441"/>
      <c r="C176" s="100"/>
      <c r="D176" s="612" t="s">
        <v>7</v>
      </c>
      <c r="E176" s="613">
        <v>0.2908919004097069</v>
      </c>
      <c r="F176" s="573"/>
      <c r="G176" s="585"/>
      <c r="H176" s="585"/>
      <c r="I176" s="544"/>
      <c r="J176" s="573"/>
      <c r="K176" s="614">
        <v>0.29486977111286505</v>
      </c>
      <c r="L176" s="548"/>
      <c r="M176" s="548"/>
      <c r="N176" s="548"/>
      <c r="O176" s="575"/>
      <c r="P176" s="548"/>
      <c r="Q176" s="612" t="s">
        <v>7</v>
      </c>
      <c r="R176" s="613">
        <v>0.2915963550455619</v>
      </c>
      <c r="S176" s="548"/>
      <c r="T176" s="544"/>
      <c r="U176" s="548"/>
      <c r="V176" s="832">
        <v>0.2941275734053324</v>
      </c>
      <c r="W176" s="548"/>
      <c r="X176" s="587">
        <v>0.07044546358550008</v>
      </c>
      <c r="Y176" s="548"/>
      <c r="Z176" s="587">
        <v>-0.07421977075326436</v>
      </c>
      <c r="AA176" s="548"/>
      <c r="AB176" s="548"/>
      <c r="AC176" s="442"/>
      <c r="AE176" s="88"/>
    </row>
    <row r="177" spans="2:29" ht="12.75">
      <c r="B177" s="185"/>
      <c r="C177" s="111"/>
      <c r="D177" s="557" t="s">
        <v>8</v>
      </c>
      <c r="E177" s="588">
        <v>-0.11914893617021277</v>
      </c>
      <c r="F177" s="548"/>
      <c r="G177" s="577"/>
      <c r="H177" s="577"/>
      <c r="I177" s="552"/>
      <c r="J177" s="548"/>
      <c r="K177" s="589">
        <v>-0.04477611940298507</v>
      </c>
      <c r="L177" s="548"/>
      <c r="M177" s="548"/>
      <c r="N177" s="548"/>
      <c r="O177" s="575"/>
      <c r="P177" s="548"/>
      <c r="Q177" s="557" t="s">
        <v>8</v>
      </c>
      <c r="R177" s="588">
        <v>-0.0170316301703163</v>
      </c>
      <c r="S177" s="548"/>
      <c r="T177" s="552"/>
      <c r="U177" s="548"/>
      <c r="V177" s="829">
        <v>-0.012165450121654502</v>
      </c>
      <c r="W177" s="548"/>
      <c r="X177" s="590">
        <v>10.211730599989647</v>
      </c>
      <c r="Y177" s="548"/>
      <c r="Z177" s="590">
        <v>3.261066928133057</v>
      </c>
      <c r="AA177" s="548"/>
      <c r="AB177" s="548"/>
      <c r="AC177" s="202"/>
    </row>
    <row r="178" spans="2:29" ht="12.75">
      <c r="B178" s="185"/>
      <c r="C178" s="111"/>
      <c r="D178" s="557" t="s">
        <v>31</v>
      </c>
      <c r="E178" s="588">
        <v>0.02897196261682243</v>
      </c>
      <c r="F178" s="548"/>
      <c r="G178" s="577"/>
      <c r="H178" s="577"/>
      <c r="I178" s="552"/>
      <c r="J178" s="548"/>
      <c r="K178" s="589">
        <v>0.023914968999114262</v>
      </c>
      <c r="L178" s="548"/>
      <c r="M178" s="548"/>
      <c r="N178" s="548"/>
      <c r="O178" s="575"/>
      <c r="P178" s="548"/>
      <c r="Q178" s="557" t="s">
        <v>31</v>
      </c>
      <c r="R178" s="588">
        <v>-0.0195160031225605</v>
      </c>
      <c r="S178" s="548"/>
      <c r="T178" s="552"/>
      <c r="U178" s="548"/>
      <c r="V178" s="829">
        <v>-0.0195160031225605</v>
      </c>
      <c r="W178" s="548"/>
      <c r="X178" s="590">
        <v>-4.848796573938293</v>
      </c>
      <c r="Y178" s="379"/>
      <c r="Z178" s="590">
        <v>-4.343097212167477</v>
      </c>
      <c r="AA178" s="548"/>
      <c r="AB178" s="548"/>
      <c r="AC178" s="202"/>
    </row>
    <row r="179" spans="2:29" ht="12.75" customHeight="1">
      <c r="B179" s="185"/>
      <c r="C179" s="111"/>
      <c r="D179" s="557" t="s">
        <v>89</v>
      </c>
      <c r="E179" s="588">
        <v>-0.8421052631578947</v>
      </c>
      <c r="F179" s="548"/>
      <c r="G179" s="577"/>
      <c r="H179" s="577"/>
      <c r="I179" s="552"/>
      <c r="J179" s="548"/>
      <c r="K179" s="589">
        <v>-0.8421052631578947</v>
      </c>
      <c r="L179" s="548"/>
      <c r="M179" s="548"/>
      <c r="N179" s="548"/>
      <c r="O179" s="575"/>
      <c r="P179" s="548"/>
      <c r="Q179" s="557" t="s">
        <v>89</v>
      </c>
      <c r="R179" s="588">
        <v>-0.6037735849056604</v>
      </c>
      <c r="S179" s="548"/>
      <c r="T179" s="552"/>
      <c r="U179" s="548"/>
      <c r="V179" s="829">
        <v>-0.6037735849056604</v>
      </c>
      <c r="W179" s="548"/>
      <c r="X179" s="590">
        <v>23.833167825223434</v>
      </c>
      <c r="Y179" s="379"/>
      <c r="Z179" s="590">
        <v>23.833167825223434</v>
      </c>
      <c r="AA179" s="548"/>
      <c r="AB179" s="548"/>
      <c r="AC179" s="202"/>
    </row>
    <row r="180" spans="2:29" ht="12.75">
      <c r="B180" s="185"/>
      <c r="C180" s="111"/>
      <c r="D180" s="557" t="s">
        <v>9</v>
      </c>
      <c r="E180" s="588">
        <v>-0.16279069767441862</v>
      </c>
      <c r="F180" s="548"/>
      <c r="G180" s="577"/>
      <c r="H180" s="577"/>
      <c r="I180" s="552"/>
      <c r="J180" s="548"/>
      <c r="K180" s="589">
        <v>-0.1511627906976744</v>
      </c>
      <c r="L180" s="548"/>
      <c r="M180" s="548"/>
      <c r="N180" s="548"/>
      <c r="O180" s="575"/>
      <c r="P180" s="548"/>
      <c r="Q180" s="557" t="s">
        <v>9</v>
      </c>
      <c r="R180" s="588">
        <v>-0.08791208791208792</v>
      </c>
      <c r="S180" s="548"/>
      <c r="T180" s="552"/>
      <c r="U180" s="548"/>
      <c r="V180" s="829">
        <v>-0.07692307692307693</v>
      </c>
      <c r="W180" s="548"/>
      <c r="X180" s="590">
        <v>7.48786097623307</v>
      </c>
      <c r="Y180" s="379"/>
      <c r="Z180" s="590">
        <v>7.423971377459749</v>
      </c>
      <c r="AA180" s="548"/>
      <c r="AB180" s="548"/>
      <c r="AC180" s="202"/>
    </row>
    <row r="181" spans="2:29" ht="12.75">
      <c r="B181" s="185"/>
      <c r="C181" s="111"/>
      <c r="D181" s="272" t="s">
        <v>10</v>
      </c>
      <c r="E181" s="281">
        <v>0.23426438409061656</v>
      </c>
      <c r="F181" s="579"/>
      <c r="G181" s="602"/>
      <c r="H181" s="602"/>
      <c r="I181" s="562"/>
      <c r="J181" s="579"/>
      <c r="K181" s="282">
        <v>0.2348704990524321</v>
      </c>
      <c r="L181" s="548"/>
      <c r="M181" s="548"/>
      <c r="N181" s="548"/>
      <c r="O181" s="575"/>
      <c r="P181" s="548"/>
      <c r="Q181" s="272" t="s">
        <v>10</v>
      </c>
      <c r="R181" s="281">
        <v>0.21830166731291198</v>
      </c>
      <c r="S181" s="548"/>
      <c r="T181" s="562"/>
      <c r="U181" s="548"/>
      <c r="V181" s="830">
        <v>0.22036965232002068</v>
      </c>
      <c r="W181" s="548"/>
      <c r="X181" s="596">
        <v>-1.5962716777704582</v>
      </c>
      <c r="Y181" s="100"/>
      <c r="Z181" s="596">
        <v>-1.450084673241142</v>
      </c>
      <c r="AA181" s="548"/>
      <c r="AB181" s="548"/>
      <c r="AC181" s="202"/>
    </row>
    <row r="182" spans="2:29" ht="13.5" thickBot="1">
      <c r="B182" s="185"/>
      <c r="C182" s="111"/>
      <c r="D182" s="286"/>
      <c r="E182" s="385"/>
      <c r="F182" s="385"/>
      <c r="G182" s="287"/>
      <c r="H182" s="287"/>
      <c r="I182" s="385"/>
      <c r="J182" s="385"/>
      <c r="K182" s="385"/>
      <c r="L182" s="385"/>
      <c r="M182" s="385"/>
      <c r="N182" s="385"/>
      <c r="O182" s="386"/>
      <c r="P182" s="379"/>
      <c r="Q182" s="288"/>
      <c r="R182" s="387"/>
      <c r="S182" s="387"/>
      <c r="T182" s="387"/>
      <c r="U182" s="387"/>
      <c r="V182" s="289"/>
      <c r="W182" s="379"/>
      <c r="X182" s="388"/>
      <c r="Y182" s="379"/>
      <c r="Z182" s="388"/>
      <c r="AA182" s="379"/>
      <c r="AB182" s="379"/>
      <c r="AC182" s="202"/>
    </row>
    <row r="183" spans="2:29" ht="13.5" thickTop="1">
      <c r="B183" s="185"/>
      <c r="C183" s="111"/>
      <c r="D183" s="1551" t="s">
        <v>200</v>
      </c>
      <c r="E183" s="1551"/>
      <c r="F183" s="1551"/>
      <c r="G183" s="1551"/>
      <c r="H183" s="1551"/>
      <c r="I183" s="1551"/>
      <c r="J183" s="1551"/>
      <c r="K183" s="1551"/>
      <c r="L183" s="1551"/>
      <c r="M183" s="1551"/>
      <c r="N183" s="1551"/>
      <c r="O183" s="1551"/>
      <c r="P183" s="1551"/>
      <c r="Q183" s="1551"/>
      <c r="R183" s="1551"/>
      <c r="S183" s="1551"/>
      <c r="T183" s="1551"/>
      <c r="U183" s="1551"/>
      <c r="V183" s="1551"/>
      <c r="W183" s="1551"/>
      <c r="X183" s="1551"/>
      <c r="Y183" s="1551"/>
      <c r="Z183" s="1551"/>
      <c r="AA183" s="379"/>
      <c r="AB183" s="379"/>
      <c r="AC183" s="202"/>
    </row>
    <row r="184" spans="2:29" ht="12.75">
      <c r="B184" s="185"/>
      <c r="C184" s="111"/>
      <c r="D184" s="1551"/>
      <c r="E184" s="1551"/>
      <c r="F184" s="1551"/>
      <c r="G184" s="1551"/>
      <c r="H184" s="1551"/>
      <c r="I184" s="1551"/>
      <c r="J184" s="1551"/>
      <c r="K184" s="1551"/>
      <c r="L184" s="1551"/>
      <c r="M184" s="1551"/>
      <c r="N184" s="1551"/>
      <c r="O184" s="1551"/>
      <c r="P184" s="1551"/>
      <c r="Q184" s="1551"/>
      <c r="R184" s="1551"/>
      <c r="S184" s="1551"/>
      <c r="T184" s="1551"/>
      <c r="U184" s="1551"/>
      <c r="V184" s="1551"/>
      <c r="W184" s="1551"/>
      <c r="X184" s="1551"/>
      <c r="Y184" s="1551"/>
      <c r="Z184" s="1551"/>
      <c r="AA184" s="379"/>
      <c r="AB184" s="379"/>
      <c r="AC184" s="202"/>
    </row>
    <row r="185" spans="2:29" ht="12.75">
      <c r="B185" s="185"/>
      <c r="C185" s="111"/>
      <c r="D185" s="1552" t="s">
        <v>195</v>
      </c>
      <c r="E185" s="1553"/>
      <c r="F185" s="1553"/>
      <c r="G185" s="1553"/>
      <c r="H185" s="1553"/>
      <c r="I185" s="903" t="s">
        <v>4</v>
      </c>
      <c r="J185" s="903"/>
      <c r="K185" s="904" t="s">
        <v>143</v>
      </c>
      <c r="L185" s="379"/>
      <c r="M185" s="379"/>
      <c r="N185" s="379"/>
      <c r="O185" s="379"/>
      <c r="P185" s="379"/>
      <c r="Q185" s="901" t="s">
        <v>196</v>
      </c>
      <c r="R185" s="902"/>
      <c r="S185" s="902"/>
      <c r="T185" s="902"/>
      <c r="U185" s="902"/>
      <c r="V185" s="903" t="s">
        <v>4</v>
      </c>
      <c r="W185" s="903"/>
      <c r="X185" s="904" t="s">
        <v>143</v>
      </c>
      <c r="Y185" s="379"/>
      <c r="Z185" s="379"/>
      <c r="AA185" s="379"/>
      <c r="AB185" s="379"/>
      <c r="AC185" s="202"/>
    </row>
    <row r="186" spans="2:29" s="97" customFormat="1" ht="12.75">
      <c r="B186" s="441"/>
      <c r="C186" s="100"/>
      <c r="D186" s="667" t="s">
        <v>336</v>
      </c>
      <c r="E186" s="379"/>
      <c r="F186" s="379"/>
      <c r="G186" s="401"/>
      <c r="H186" s="401"/>
      <c r="I186" s="548">
        <v>17</v>
      </c>
      <c r="J186" s="379"/>
      <c r="K186" s="561">
        <v>18</v>
      </c>
      <c r="L186" s="379"/>
      <c r="M186" s="379"/>
      <c r="N186" s="379"/>
      <c r="O186" s="379"/>
      <c r="P186" s="379"/>
      <c r="Q186" s="667" t="s">
        <v>336</v>
      </c>
      <c r="R186" s="379"/>
      <c r="S186" s="379"/>
      <c r="T186" s="401"/>
      <c r="U186" s="401"/>
      <c r="V186" s="548">
        <v>17</v>
      </c>
      <c r="W186" s="379"/>
      <c r="X186" s="561">
        <v>18</v>
      </c>
      <c r="Y186" s="379"/>
      <c r="Z186" s="379"/>
      <c r="AA186" s="379"/>
      <c r="AB186" s="379"/>
      <c r="AC186" s="442"/>
    </row>
    <row r="187" spans="2:29" ht="12.75">
      <c r="B187" s="185"/>
      <c r="C187" s="111"/>
      <c r="D187" s="620" t="s">
        <v>191</v>
      </c>
      <c r="E187" s="379"/>
      <c r="F187" s="379"/>
      <c r="G187" s="401"/>
      <c r="H187" s="401"/>
      <c r="I187" s="548">
        <v>1</v>
      </c>
      <c r="J187" s="379"/>
      <c r="K187" s="912"/>
      <c r="L187" s="379"/>
      <c r="M187" s="379"/>
      <c r="N187" s="379"/>
      <c r="O187" s="379"/>
      <c r="P187" s="379"/>
      <c r="Q187" s="620" t="s">
        <v>191</v>
      </c>
      <c r="R187" s="379"/>
      <c r="S187" s="379"/>
      <c r="T187" s="401"/>
      <c r="U187" s="401"/>
      <c r="V187" s="548">
        <v>1</v>
      </c>
      <c r="W187" s="379"/>
      <c r="X187" s="561"/>
      <c r="Y187" s="379"/>
      <c r="Z187" s="379"/>
      <c r="AA187" s="379"/>
      <c r="AB187" s="379"/>
      <c r="AC187" s="202"/>
    </row>
    <row r="188" spans="2:29" ht="12.75">
      <c r="B188" s="185"/>
      <c r="C188" s="111"/>
      <c r="D188" s="620" t="s">
        <v>192</v>
      </c>
      <c r="E188" s="379"/>
      <c r="F188" s="379"/>
      <c r="G188" s="401"/>
      <c r="H188" s="401"/>
      <c r="I188" s="548">
        <v>1</v>
      </c>
      <c r="J188" s="379"/>
      <c r="K188" s="912"/>
      <c r="L188" s="379"/>
      <c r="M188" s="379"/>
      <c r="N188" s="379"/>
      <c r="O188" s="379"/>
      <c r="P188" s="379"/>
      <c r="Q188" s="620" t="s">
        <v>303</v>
      </c>
      <c r="R188" s="379"/>
      <c r="S188" s="379"/>
      <c r="T188" s="401"/>
      <c r="U188" s="401"/>
      <c r="V188" s="665">
        <v>9</v>
      </c>
      <c r="W188" s="379"/>
      <c r="X188" s="561"/>
      <c r="Y188" s="379"/>
      <c r="Z188" s="379"/>
      <c r="AA188" s="379"/>
      <c r="AB188" s="379"/>
      <c r="AC188" s="202"/>
    </row>
    <row r="189" spans="2:29" ht="12.75">
      <c r="B189" s="185"/>
      <c r="C189" s="111"/>
      <c r="D189" s="621" t="s">
        <v>139</v>
      </c>
      <c r="E189" s="402"/>
      <c r="F189" s="402"/>
      <c r="G189" s="403"/>
      <c r="H189" s="403"/>
      <c r="I189" s="402">
        <v>19</v>
      </c>
      <c r="J189" s="402"/>
      <c r="K189" s="384">
        <v>18</v>
      </c>
      <c r="L189" s="379"/>
      <c r="M189" s="379"/>
      <c r="N189" s="379"/>
      <c r="O189" s="379"/>
      <c r="P189" s="379"/>
      <c r="Q189" s="620" t="s">
        <v>192</v>
      </c>
      <c r="R189" s="379"/>
      <c r="S189" s="379"/>
      <c r="T189" s="401"/>
      <c r="U189" s="401"/>
      <c r="V189" s="548">
        <v>1</v>
      </c>
      <c r="W189" s="379"/>
      <c r="X189" s="561">
        <v>-2</v>
      </c>
      <c r="Y189" s="379"/>
      <c r="Z189" s="379"/>
      <c r="AA189" s="379"/>
      <c r="AB189" s="379"/>
      <c r="AC189" s="202"/>
    </row>
    <row r="190" spans="2:29" ht="12.75">
      <c r="B190" s="185"/>
      <c r="C190" s="111"/>
      <c r="D190" s="675"/>
      <c r="E190" s="675"/>
      <c r="F190" s="675"/>
      <c r="G190" s="675"/>
      <c r="H190" s="675"/>
      <c r="I190" s="675"/>
      <c r="J190" s="675"/>
      <c r="K190" s="675"/>
      <c r="L190" s="379"/>
      <c r="M190" s="379"/>
      <c r="N190" s="379"/>
      <c r="O190" s="379"/>
      <c r="P190" s="379"/>
      <c r="Q190" s="621" t="s">
        <v>139</v>
      </c>
      <c r="R190" s="402"/>
      <c r="S190" s="402"/>
      <c r="T190" s="403"/>
      <c r="U190" s="403"/>
      <c r="V190" s="402">
        <v>28</v>
      </c>
      <c r="W190" s="402"/>
      <c r="X190" s="384">
        <v>16</v>
      </c>
      <c r="Y190" s="379"/>
      <c r="Z190" s="379"/>
      <c r="AA190" s="379"/>
      <c r="AB190" s="379"/>
      <c r="AC190" s="202"/>
    </row>
    <row r="191" spans="2:29" ht="12.75">
      <c r="B191" s="185"/>
      <c r="C191" s="111"/>
      <c r="D191" s="121"/>
      <c r="E191" s="121"/>
      <c r="F191" s="675"/>
      <c r="G191" s="675"/>
      <c r="H191" s="675"/>
      <c r="I191" s="675"/>
      <c r="J191" s="675"/>
      <c r="K191" s="675"/>
      <c r="L191" s="379"/>
      <c r="M191" s="379"/>
      <c r="N191" s="379"/>
      <c r="O191" s="379"/>
      <c r="P191" s="379"/>
      <c r="Q191" s="675"/>
      <c r="R191" s="675"/>
      <c r="S191" s="675"/>
      <c r="T191" s="675"/>
      <c r="U191" s="675"/>
      <c r="V191" s="675"/>
      <c r="W191" s="675"/>
      <c r="X191" s="675"/>
      <c r="Y191" s="379"/>
      <c r="Z191" s="379"/>
      <c r="AA191" s="379"/>
      <c r="AB191" s="379"/>
      <c r="AC191" s="202"/>
    </row>
    <row r="192" spans="2:31" ht="12.75">
      <c r="B192" s="185"/>
      <c r="C192" s="111"/>
      <c r="D192" s="121"/>
      <c r="E192" s="121"/>
      <c r="F192" s="675"/>
      <c r="G192" s="675"/>
      <c r="H192" s="675"/>
      <c r="I192" s="675"/>
      <c r="J192" s="675"/>
      <c r="K192" s="675"/>
      <c r="L192" s="379"/>
      <c r="M192" s="379"/>
      <c r="N192" s="379"/>
      <c r="O192" s="379"/>
      <c r="P192" s="379"/>
      <c r="Q192" s="675"/>
      <c r="R192" s="675"/>
      <c r="S192" s="675"/>
      <c r="T192" s="675"/>
      <c r="U192" s="675"/>
      <c r="V192" s="675"/>
      <c r="W192" s="675"/>
      <c r="X192" s="675"/>
      <c r="Y192" s="379"/>
      <c r="Z192" s="379"/>
      <c r="AA192" s="379"/>
      <c r="AB192" s="379"/>
      <c r="AC192" s="202"/>
      <c r="AD192" s="95"/>
      <c r="AE192" s="95"/>
    </row>
    <row r="193" spans="2:31" ht="12.75">
      <c r="B193" s="185"/>
      <c r="C193" s="111"/>
      <c r="D193" s="121"/>
      <c r="E193" s="121"/>
      <c r="F193" s="675"/>
      <c r="G193" s="675"/>
      <c r="H193" s="675"/>
      <c r="I193" s="675"/>
      <c r="J193" s="675"/>
      <c r="K193" s="675"/>
      <c r="L193" s="379"/>
      <c r="M193" s="379"/>
      <c r="N193" s="379"/>
      <c r="O193" s="379"/>
      <c r="P193" s="379"/>
      <c r="Q193" s="675"/>
      <c r="R193" s="675"/>
      <c r="S193" s="675"/>
      <c r="T193" s="675"/>
      <c r="U193" s="675"/>
      <c r="V193" s="675"/>
      <c r="W193" s="675"/>
      <c r="X193" s="675"/>
      <c r="Y193" s="379"/>
      <c r="Z193" s="379"/>
      <c r="AA193" s="379"/>
      <c r="AB193" s="379"/>
      <c r="AC193" s="202"/>
      <c r="AD193" s="95"/>
      <c r="AE193" s="95"/>
    </row>
    <row r="194" spans="2:31" ht="12.75">
      <c r="B194" s="444"/>
      <c r="C194" s="112"/>
      <c r="D194" s="906"/>
      <c r="E194" s="907"/>
      <c r="F194" s="907"/>
      <c r="G194" s="908"/>
      <c r="H194" s="908"/>
      <c r="I194" s="907"/>
      <c r="J194" s="907"/>
      <c r="K194" s="907"/>
      <c r="L194" s="907"/>
      <c r="M194" s="907"/>
      <c r="N194" s="907"/>
      <c r="O194" s="907"/>
      <c r="P194" s="907"/>
      <c r="Q194" s="907"/>
      <c r="R194" s="907"/>
      <c r="S194" s="907"/>
      <c r="T194" s="907"/>
      <c r="U194" s="907"/>
      <c r="V194" s="907"/>
      <c r="W194" s="907"/>
      <c r="X194" s="907"/>
      <c r="Y194" s="907"/>
      <c r="Z194" s="907"/>
      <c r="AA194" s="907"/>
      <c r="AB194" s="907"/>
      <c r="AC194" s="202"/>
      <c r="AD194" s="95"/>
      <c r="AE194" s="95"/>
    </row>
    <row r="195" spans="2:31" ht="27.75" customHeight="1" hidden="1">
      <c r="B195" s="397"/>
      <c r="C195" s="105"/>
      <c r="D195" s="102"/>
      <c r="E195" s="105"/>
      <c r="F195" s="106"/>
      <c r="G195" s="105"/>
      <c r="H195" s="105"/>
      <c r="I195" s="105"/>
      <c r="J195" s="106"/>
      <c r="K195" s="105"/>
      <c r="L195" s="105"/>
      <c r="M195" s="105"/>
      <c r="N195" s="235"/>
      <c r="O195" s="235"/>
      <c r="P195" s="235"/>
      <c r="Q195" s="105"/>
      <c r="R195" s="105"/>
      <c r="S195" s="105"/>
      <c r="T195" s="105"/>
      <c r="U195" s="105"/>
      <c r="V195" s="105"/>
      <c r="W195" s="235"/>
      <c r="X195" s="105"/>
      <c r="Y195" s="235"/>
      <c r="Z195" s="105"/>
      <c r="AA195" s="235"/>
      <c r="AB195" s="105"/>
      <c r="AC195" s="374"/>
      <c r="AD195" s="95"/>
      <c r="AE195" s="95"/>
    </row>
    <row r="196" spans="2:31" ht="13.5" thickBot="1">
      <c r="B196" s="375"/>
      <c r="C196" s="103"/>
      <c r="D196" s="101"/>
      <c r="E196" s="103"/>
      <c r="F196" s="104"/>
      <c r="G196" s="103"/>
      <c r="H196" s="103"/>
      <c r="I196" s="103"/>
      <c r="J196" s="104"/>
      <c r="K196" s="103"/>
      <c r="L196" s="103"/>
      <c r="M196" s="103"/>
      <c r="N196" s="109"/>
      <c r="O196" s="109"/>
      <c r="P196" s="109"/>
      <c r="Q196" s="103"/>
      <c r="R196" s="103"/>
      <c r="S196" s="103"/>
      <c r="T196" s="103"/>
      <c r="U196" s="103"/>
      <c r="V196" s="103"/>
      <c r="W196" s="109"/>
      <c r="X196" s="103"/>
      <c r="Y196" s="109"/>
      <c r="Z196" s="103"/>
      <c r="AA196" s="675"/>
      <c r="AB196" s="675"/>
      <c r="AC196" s="202"/>
      <c r="AD196" s="95"/>
      <c r="AE196" s="95"/>
    </row>
    <row r="197" spans="2:31" ht="51.75" customHeight="1" thickTop="1">
      <c r="B197" s="98"/>
      <c r="C197" s="240"/>
      <c r="D197" s="1487" t="s">
        <v>227</v>
      </c>
      <c r="E197" s="1470"/>
      <c r="F197" s="1470"/>
      <c r="G197" s="1470"/>
      <c r="H197" s="1470"/>
      <c r="I197" s="1470"/>
      <c r="J197" s="1470"/>
      <c r="K197" s="1470"/>
      <c r="L197" s="1470"/>
      <c r="M197" s="1470"/>
      <c r="N197" s="1470"/>
      <c r="O197" s="1471"/>
      <c r="P197" s="236"/>
      <c r="Q197" s="1487" t="s">
        <v>228</v>
      </c>
      <c r="R197" s="1470"/>
      <c r="S197" s="1470"/>
      <c r="T197" s="1470"/>
      <c r="U197" s="1470"/>
      <c r="V197" s="1471"/>
      <c r="W197" s="811"/>
      <c r="X197" s="833" t="s">
        <v>183</v>
      </c>
      <c r="Y197" s="812"/>
      <c r="Z197" s="833" t="s">
        <v>184</v>
      </c>
      <c r="AA197" s="913"/>
      <c r="AB197" s="833" t="s">
        <v>185</v>
      </c>
      <c r="AC197" s="202"/>
      <c r="AD197" s="95"/>
      <c r="AE197" s="95"/>
    </row>
    <row r="198" spans="2:29" ht="15.75">
      <c r="B198" s="369"/>
      <c r="C198" s="370"/>
      <c r="D198" s="1472"/>
      <c r="E198" s="1473"/>
      <c r="F198" s="1473"/>
      <c r="G198" s="1473"/>
      <c r="H198" s="1473"/>
      <c r="I198" s="1473"/>
      <c r="J198" s="1473"/>
      <c r="K198" s="1473"/>
      <c r="L198" s="1473"/>
      <c r="M198" s="1473"/>
      <c r="N198" s="1473"/>
      <c r="O198" s="1513"/>
      <c r="P198" s="237"/>
      <c r="Q198" s="1540"/>
      <c r="R198" s="1541"/>
      <c r="S198" s="813"/>
      <c r="T198" s="814"/>
      <c r="U198" s="813"/>
      <c r="V198" s="820"/>
      <c r="W198" s="796"/>
      <c r="X198" s="834"/>
      <c r="Y198" s="796"/>
      <c r="Z198" s="834"/>
      <c r="AA198" s="816"/>
      <c r="AB198" s="834"/>
      <c r="AC198" s="202"/>
    </row>
    <row r="199" spans="2:29" ht="39.75">
      <c r="B199" s="185"/>
      <c r="C199" s="111"/>
      <c r="D199" s="1485" t="s">
        <v>332</v>
      </c>
      <c r="E199" s="1486"/>
      <c r="F199" s="239"/>
      <c r="G199" s="1480" t="s">
        <v>177</v>
      </c>
      <c r="H199" s="1481"/>
      <c r="I199" s="1482"/>
      <c r="J199" s="239"/>
      <c r="K199" s="259" t="s">
        <v>180</v>
      </c>
      <c r="L199" s="110"/>
      <c r="M199" s="259" t="s">
        <v>178</v>
      </c>
      <c r="N199" s="239"/>
      <c r="O199" s="260" t="s">
        <v>209</v>
      </c>
      <c r="P199" s="239"/>
      <c r="Q199" s="1534" t="s">
        <v>179</v>
      </c>
      <c r="R199" s="1481"/>
      <c r="S199" s="815"/>
      <c r="T199" s="259" t="s">
        <v>320</v>
      </c>
      <c r="U199" s="914"/>
      <c r="V199" s="260" t="s">
        <v>189</v>
      </c>
      <c r="W199" s="815"/>
      <c r="X199" s="841" t="s">
        <v>186</v>
      </c>
      <c r="Y199" s="815"/>
      <c r="Z199" s="841" t="s">
        <v>181</v>
      </c>
      <c r="AA199" s="816"/>
      <c r="AB199" s="841" t="s">
        <v>182</v>
      </c>
      <c r="AC199" s="202"/>
    </row>
    <row r="200" spans="2:29" ht="12.75">
      <c r="B200" s="441"/>
      <c r="C200" s="100"/>
      <c r="D200" s="541" t="s">
        <v>11</v>
      </c>
      <c r="E200" s="263"/>
      <c r="F200" s="110"/>
      <c r="G200" s="1517" t="s">
        <v>175</v>
      </c>
      <c r="H200" s="1517" t="s">
        <v>174</v>
      </c>
      <c r="I200" s="1517" t="s">
        <v>216</v>
      </c>
      <c r="J200" s="110"/>
      <c r="K200" s="267"/>
      <c r="L200" s="110"/>
      <c r="M200" s="267"/>
      <c r="N200" s="110"/>
      <c r="O200" s="268"/>
      <c r="P200" s="110"/>
      <c r="Q200" s="915"/>
      <c r="R200" s="815"/>
      <c r="S200" s="815"/>
      <c r="T200" s="916"/>
      <c r="U200" s="914"/>
      <c r="V200" s="917"/>
      <c r="W200" s="815"/>
      <c r="X200" s="842"/>
      <c r="Y200" s="815"/>
      <c r="Z200" s="842"/>
      <c r="AA200" s="816"/>
      <c r="AB200" s="842"/>
      <c r="AC200" s="202"/>
    </row>
    <row r="201" spans="2:29" ht="12.75">
      <c r="B201" s="185"/>
      <c r="C201" s="111"/>
      <c r="D201" s="1519" t="s">
        <v>0</v>
      </c>
      <c r="E201" s="1520"/>
      <c r="F201" s="270"/>
      <c r="G201" s="1518"/>
      <c r="H201" s="1518"/>
      <c r="I201" s="1518"/>
      <c r="J201" s="270"/>
      <c r="K201" s="269"/>
      <c r="L201" s="270"/>
      <c r="M201" s="269"/>
      <c r="N201" s="270"/>
      <c r="O201" s="271"/>
      <c r="P201" s="234"/>
      <c r="Q201" s="1549" t="s">
        <v>0</v>
      </c>
      <c r="R201" s="1550"/>
      <c r="S201" s="817"/>
      <c r="T201" s="918"/>
      <c r="U201" s="918"/>
      <c r="V201" s="919"/>
      <c r="W201" s="817"/>
      <c r="X201" s="843"/>
      <c r="Y201" s="817"/>
      <c r="Z201" s="843"/>
      <c r="AA201" s="816"/>
      <c r="AB201" s="843"/>
      <c r="AC201" s="202"/>
    </row>
    <row r="202" spans="2:29" ht="12.75">
      <c r="B202" s="185"/>
      <c r="C202" s="111"/>
      <c r="D202" s="542" t="s">
        <v>7</v>
      </c>
      <c r="E202" s="543">
        <v>6562</v>
      </c>
      <c r="F202" s="544"/>
      <c r="G202" s="544">
        <v>-1</v>
      </c>
      <c r="H202" s="544">
        <v>-6</v>
      </c>
      <c r="I202" s="678">
        <v>0</v>
      </c>
      <c r="J202" s="544"/>
      <c r="K202" s="678">
        <v>6555</v>
      </c>
      <c r="L202" s="544"/>
      <c r="M202" s="544">
        <v>69</v>
      </c>
      <c r="N202" s="544"/>
      <c r="O202" s="547">
        <v>6486</v>
      </c>
      <c r="P202" s="548"/>
      <c r="Q202" s="542" t="s">
        <v>7</v>
      </c>
      <c r="R202" s="543">
        <f>+'Rep&amp;org. fig. YTD'!R217-'Rep&amp;org. fig. YTD'!R146</f>
        <v>6112</v>
      </c>
      <c r="S202" s="548"/>
      <c r="T202" s="546">
        <f>+V202-R202</f>
        <v>32</v>
      </c>
      <c r="U202" s="548"/>
      <c r="V202" s="822">
        <f>+'Rep&amp;org. fig. YTD'!V217-'Rep&amp;org. fig. YTD'!V146</f>
        <v>6144</v>
      </c>
      <c r="W202" s="817"/>
      <c r="X202" s="844">
        <f>+R202/E202-1</f>
        <v>-0.06857665345931119</v>
      </c>
      <c r="Y202" s="817"/>
      <c r="Z202" s="844">
        <f>+V202/K202-1</f>
        <v>-0.0627002288329519</v>
      </c>
      <c r="AA202" s="816"/>
      <c r="AB202" s="836">
        <f>+V202/O202-1</f>
        <v>-0.052728954671600325</v>
      </c>
      <c r="AC202" s="202"/>
    </row>
    <row r="203" spans="2:29" ht="12.75">
      <c r="B203" s="185"/>
      <c r="C203" s="111"/>
      <c r="D203" s="550" t="s">
        <v>145</v>
      </c>
      <c r="E203" s="551">
        <v>4281</v>
      </c>
      <c r="F203" s="552"/>
      <c r="G203" s="552">
        <v>-1</v>
      </c>
      <c r="H203" s="552">
        <v>-6</v>
      </c>
      <c r="I203" s="560">
        <v>0</v>
      </c>
      <c r="J203" s="552"/>
      <c r="K203" s="560">
        <v>4274</v>
      </c>
      <c r="L203" s="552"/>
      <c r="M203" s="552">
        <v>69</v>
      </c>
      <c r="N203" s="552"/>
      <c r="O203" s="555">
        <v>4205</v>
      </c>
      <c r="P203" s="548"/>
      <c r="Q203" s="550" t="s">
        <v>145</v>
      </c>
      <c r="R203" s="551">
        <f>+'Rep&amp;org. fig. YTD'!R218-'Rep&amp;org. fig. YTD'!R147</f>
        <v>3979</v>
      </c>
      <c r="S203" s="548"/>
      <c r="T203" s="554">
        <f aca="true" t="shared" si="0" ref="T203:T211">+V203-R203</f>
        <v>-24</v>
      </c>
      <c r="U203" s="548"/>
      <c r="V203" s="823">
        <f>+'Rep&amp;org. fig. YTD'!V218-'Rep&amp;org. fig. YTD'!V147</f>
        <v>3955</v>
      </c>
      <c r="W203" s="817"/>
      <c r="X203" s="836">
        <f aca="true" t="shared" si="1" ref="X203:X211">+R203/E203-1</f>
        <v>-0.07054426535856106</v>
      </c>
      <c r="Y203" s="817"/>
      <c r="Z203" s="836">
        <f aca="true" t="shared" si="2" ref="Z203:Z211">+V203/K203-1</f>
        <v>-0.07463734206832007</v>
      </c>
      <c r="AA203" s="816"/>
      <c r="AB203" s="836">
        <f>+V203/O203-1</f>
        <v>-0.05945303210463737</v>
      </c>
      <c r="AC203" s="202"/>
    </row>
    <row r="204" spans="2:29" ht="12.75">
      <c r="B204" s="185"/>
      <c r="C204" s="111"/>
      <c r="D204" s="550" t="s">
        <v>130</v>
      </c>
      <c r="E204" s="551">
        <v>2645</v>
      </c>
      <c r="F204" s="552"/>
      <c r="G204" s="552">
        <v>0</v>
      </c>
      <c r="H204" s="552">
        <v>0</v>
      </c>
      <c r="I204" s="560">
        <v>0</v>
      </c>
      <c r="J204" s="552"/>
      <c r="K204" s="560">
        <v>2645</v>
      </c>
      <c r="L204" s="552"/>
      <c r="M204" s="552"/>
      <c r="N204" s="552"/>
      <c r="O204" s="555">
        <v>2645</v>
      </c>
      <c r="P204" s="548"/>
      <c r="Q204" s="550" t="s">
        <v>130</v>
      </c>
      <c r="R204" s="551">
        <f>+'Rep&amp;org. fig. YTD'!R219-'Rep&amp;org. fig. YTD'!R148</f>
        <v>2493</v>
      </c>
      <c r="S204" s="548"/>
      <c r="T204" s="554">
        <f t="shared" si="0"/>
        <v>56</v>
      </c>
      <c r="U204" s="548"/>
      <c r="V204" s="823">
        <f>+'Rep&amp;org. fig. YTD'!V219-'Rep&amp;org. fig. YTD'!V148</f>
        <v>2549</v>
      </c>
      <c r="W204" s="817"/>
      <c r="X204" s="836">
        <f t="shared" si="1"/>
        <v>-0.05746691871455578</v>
      </c>
      <c r="Y204" s="817"/>
      <c r="Z204" s="836">
        <f t="shared" si="2"/>
        <v>-0.036294896030245716</v>
      </c>
      <c r="AA204" s="816"/>
      <c r="AB204" s="836"/>
      <c r="AC204" s="202"/>
    </row>
    <row r="205" spans="2:29" ht="12.75">
      <c r="B205" s="185"/>
      <c r="C205" s="111"/>
      <c r="D205" s="557" t="s">
        <v>8</v>
      </c>
      <c r="E205" s="551">
        <v>253</v>
      </c>
      <c r="F205" s="552"/>
      <c r="G205" s="552">
        <v>130</v>
      </c>
      <c r="H205" s="552">
        <v>0</v>
      </c>
      <c r="I205" s="560">
        <v>0</v>
      </c>
      <c r="J205" s="552"/>
      <c r="K205" s="560">
        <v>383</v>
      </c>
      <c r="L205" s="552"/>
      <c r="M205" s="552"/>
      <c r="N205" s="552"/>
      <c r="O205" s="555">
        <v>383</v>
      </c>
      <c r="P205" s="548"/>
      <c r="Q205" s="557" t="s">
        <v>8</v>
      </c>
      <c r="R205" s="558">
        <f>+'Rep&amp;org. fig. YTD'!R220-'Rep&amp;org. fig. YTD'!R149</f>
        <v>439</v>
      </c>
      <c r="S205" s="548"/>
      <c r="T205" s="560">
        <f t="shared" si="0"/>
        <v>0</v>
      </c>
      <c r="U205" s="548"/>
      <c r="V205" s="823">
        <f>+'Rep&amp;org. fig. YTD'!V220-'Rep&amp;org. fig. YTD'!V149</f>
        <v>439</v>
      </c>
      <c r="W205" s="817"/>
      <c r="X205" s="836">
        <f t="shared" si="1"/>
        <v>0.7351778656126482</v>
      </c>
      <c r="Y205" s="817"/>
      <c r="Z205" s="836">
        <f t="shared" si="2"/>
        <v>0.14621409921671025</v>
      </c>
      <c r="AA205" s="816"/>
      <c r="AB205" s="836"/>
      <c r="AC205" s="202"/>
    </row>
    <row r="206" spans="2:29" ht="12.75">
      <c r="B206" s="185"/>
      <c r="C206" s="111"/>
      <c r="D206" s="557" t="s">
        <v>31</v>
      </c>
      <c r="E206" s="551">
        <v>1172</v>
      </c>
      <c r="F206" s="552"/>
      <c r="G206" s="552">
        <v>0</v>
      </c>
      <c r="H206" s="552">
        <v>88</v>
      </c>
      <c r="I206" s="560">
        <v>0</v>
      </c>
      <c r="J206" s="552"/>
      <c r="K206" s="560">
        <v>1260</v>
      </c>
      <c r="L206" s="552"/>
      <c r="M206" s="552"/>
      <c r="N206" s="552"/>
      <c r="O206" s="555">
        <v>1260</v>
      </c>
      <c r="P206" s="548"/>
      <c r="Q206" s="557" t="s">
        <v>31</v>
      </c>
      <c r="R206" s="558">
        <f>+'Rep&amp;org. fig. YTD'!R221-'Rep&amp;org. fig. YTD'!R150</f>
        <v>1387</v>
      </c>
      <c r="S206" s="548"/>
      <c r="T206" s="560">
        <f t="shared" si="0"/>
        <v>0</v>
      </c>
      <c r="U206" s="548"/>
      <c r="V206" s="823">
        <f>+'Rep&amp;org. fig. YTD'!V221-'Rep&amp;org. fig. YTD'!V150</f>
        <v>1387</v>
      </c>
      <c r="W206" s="817"/>
      <c r="X206" s="836">
        <f t="shared" si="1"/>
        <v>0.18344709897610922</v>
      </c>
      <c r="Y206" s="817"/>
      <c r="Z206" s="836">
        <v>0.11</v>
      </c>
      <c r="AA206" s="816"/>
      <c r="AB206" s="836"/>
      <c r="AC206" s="202"/>
    </row>
    <row r="207" spans="2:29" ht="12.75">
      <c r="B207" s="185"/>
      <c r="C207" s="111"/>
      <c r="D207" s="557" t="s">
        <v>89</v>
      </c>
      <c r="E207" s="551">
        <v>71</v>
      </c>
      <c r="F207" s="552"/>
      <c r="G207" s="552">
        <v>0</v>
      </c>
      <c r="H207" s="552">
        <v>0</v>
      </c>
      <c r="I207" s="560">
        <v>0</v>
      </c>
      <c r="J207" s="552"/>
      <c r="K207" s="560">
        <v>71</v>
      </c>
      <c r="L207" s="552"/>
      <c r="M207" s="552"/>
      <c r="N207" s="552"/>
      <c r="O207" s="555">
        <v>71</v>
      </c>
      <c r="P207" s="548"/>
      <c r="Q207" s="557" t="s">
        <v>89</v>
      </c>
      <c r="R207" s="558">
        <f>+'Rep&amp;org. fig. YTD'!R222-'Rep&amp;org. fig. YTD'!R151</f>
        <v>85</v>
      </c>
      <c r="S207" s="548"/>
      <c r="T207" s="560">
        <f t="shared" si="0"/>
        <v>0</v>
      </c>
      <c r="U207" s="548"/>
      <c r="V207" s="823">
        <f>+'Rep&amp;org. fig. YTD'!V222-'Rep&amp;org. fig. YTD'!V151</f>
        <v>85</v>
      </c>
      <c r="W207" s="817"/>
      <c r="X207" s="836">
        <f t="shared" si="1"/>
        <v>0.19718309859154926</v>
      </c>
      <c r="Y207" s="817"/>
      <c r="Z207" s="836">
        <f t="shared" si="2"/>
        <v>0.19718309859154926</v>
      </c>
      <c r="AA207" s="816"/>
      <c r="AB207" s="836"/>
      <c r="AC207" s="202"/>
    </row>
    <row r="208" spans="2:29" ht="12.75">
      <c r="B208" s="185"/>
      <c r="C208" s="111"/>
      <c r="D208" s="557" t="s">
        <v>9</v>
      </c>
      <c r="E208" s="551">
        <v>142</v>
      </c>
      <c r="F208" s="552"/>
      <c r="G208" s="552">
        <v>2</v>
      </c>
      <c r="H208" s="552">
        <v>-2</v>
      </c>
      <c r="I208" s="560">
        <v>0</v>
      </c>
      <c r="J208" s="552"/>
      <c r="K208" s="560">
        <v>142</v>
      </c>
      <c r="L208" s="552"/>
      <c r="M208" s="552"/>
      <c r="N208" s="552"/>
      <c r="O208" s="555">
        <v>142</v>
      </c>
      <c r="P208" s="548"/>
      <c r="Q208" s="557" t="s">
        <v>9</v>
      </c>
      <c r="R208" s="558">
        <f>+'Rep&amp;org. fig. YTD'!R223-'Rep&amp;org. fig. YTD'!R152</f>
        <v>125</v>
      </c>
      <c r="S208" s="548"/>
      <c r="T208" s="560">
        <f t="shared" si="0"/>
        <v>0</v>
      </c>
      <c r="U208" s="548"/>
      <c r="V208" s="823">
        <f>+'Rep&amp;org. fig. YTD'!V223-'Rep&amp;org. fig. YTD'!V152</f>
        <v>125</v>
      </c>
      <c r="W208" s="817"/>
      <c r="X208" s="836">
        <f t="shared" si="1"/>
        <v>-0.11971830985915488</v>
      </c>
      <c r="Y208" s="817"/>
      <c r="Z208" s="836">
        <f t="shared" si="2"/>
        <v>-0.11971830985915488</v>
      </c>
      <c r="AA208" s="816"/>
      <c r="AB208" s="836"/>
      <c r="AC208" s="202"/>
    </row>
    <row r="209" spans="2:29" ht="12.75">
      <c r="B209" s="185"/>
      <c r="C209" s="111"/>
      <c r="D209" s="557" t="s">
        <v>187</v>
      </c>
      <c r="E209" s="551">
        <v>57</v>
      </c>
      <c r="F209" s="552"/>
      <c r="G209" s="552">
        <v>0</v>
      </c>
      <c r="H209" s="552">
        <v>-5</v>
      </c>
      <c r="I209" s="560">
        <v>0</v>
      </c>
      <c r="J209" s="552"/>
      <c r="K209" s="560">
        <v>52</v>
      </c>
      <c r="L209" s="552"/>
      <c r="M209" s="552"/>
      <c r="N209" s="552"/>
      <c r="O209" s="555">
        <v>52</v>
      </c>
      <c r="P209" s="548"/>
      <c r="Q209" s="557" t="s">
        <v>187</v>
      </c>
      <c r="R209" s="558">
        <f>+'Rep&amp;org. fig. YTD'!R224-'Rep&amp;org. fig. YTD'!R153</f>
        <v>85</v>
      </c>
      <c r="S209" s="548"/>
      <c r="T209" s="560">
        <f t="shared" si="0"/>
        <v>0</v>
      </c>
      <c r="U209" s="548"/>
      <c r="V209" s="823">
        <f>+'Rep&amp;org. fig. YTD'!V224-'Rep&amp;org. fig. YTD'!V153</f>
        <v>85</v>
      </c>
      <c r="W209" s="817"/>
      <c r="X209" s="836">
        <f t="shared" si="1"/>
        <v>0.49122807017543857</v>
      </c>
      <c r="Y209" s="817"/>
      <c r="Z209" s="836">
        <f t="shared" si="2"/>
        <v>0.6346153846153846</v>
      </c>
      <c r="AA209" s="816"/>
      <c r="AB209" s="836"/>
      <c r="AC209" s="202"/>
    </row>
    <row r="210" spans="2:29" ht="12.75">
      <c r="B210" s="185"/>
      <c r="C210" s="111"/>
      <c r="D210" s="557" t="s">
        <v>188</v>
      </c>
      <c r="E210" s="551">
        <v>-86</v>
      </c>
      <c r="F210" s="552"/>
      <c r="G210" s="552">
        <v>-4</v>
      </c>
      <c r="H210" s="552">
        <v>0</v>
      </c>
      <c r="I210" s="560">
        <v>0</v>
      </c>
      <c r="J210" s="552"/>
      <c r="K210" s="560">
        <v>-90</v>
      </c>
      <c r="L210" s="552"/>
      <c r="M210" s="552"/>
      <c r="N210" s="552"/>
      <c r="O210" s="555">
        <v>-90</v>
      </c>
      <c r="P210" s="548"/>
      <c r="Q210" s="619" t="s">
        <v>188</v>
      </c>
      <c r="R210" s="561">
        <f>+'Rep&amp;org. fig. YTD'!R225-'Rep&amp;org. fig. YTD'!R154</f>
        <v>-150</v>
      </c>
      <c r="S210" s="548"/>
      <c r="T210" s="560">
        <f t="shared" si="0"/>
        <v>0</v>
      </c>
      <c r="U210" s="548"/>
      <c r="V210" s="555">
        <f>+'Rep&amp;org. fig. YTD'!V225-'Rep&amp;org. fig. YTD'!V154</f>
        <v>-150</v>
      </c>
      <c r="W210" s="817"/>
      <c r="X210" s="836"/>
      <c r="Y210" s="817"/>
      <c r="Z210" s="836"/>
      <c r="AA210" s="816"/>
      <c r="AB210" s="836"/>
      <c r="AC210" s="202"/>
    </row>
    <row r="211" spans="2:29" ht="13.5" thickBot="1">
      <c r="B211" s="185"/>
      <c r="C211" s="111"/>
      <c r="D211" s="272" t="s">
        <v>10</v>
      </c>
      <c r="E211" s="920">
        <v>8171</v>
      </c>
      <c r="F211" s="562"/>
      <c r="G211" s="275">
        <v>127</v>
      </c>
      <c r="H211" s="275">
        <v>75</v>
      </c>
      <c r="I211" s="274">
        <v>0</v>
      </c>
      <c r="J211" s="562"/>
      <c r="K211" s="274">
        <v>8373</v>
      </c>
      <c r="L211" s="552"/>
      <c r="M211" s="275">
        <v>69</v>
      </c>
      <c r="N211" s="552"/>
      <c r="O211" s="276">
        <v>8304</v>
      </c>
      <c r="P211" s="548"/>
      <c r="Q211" s="272" t="s">
        <v>10</v>
      </c>
      <c r="R211" s="273">
        <f>+'Rep&amp;org. fig. YTD'!R226-'Rep&amp;org. fig. YTD'!R155</f>
        <v>8083</v>
      </c>
      <c r="S211" s="548"/>
      <c r="T211" s="275">
        <f t="shared" si="0"/>
        <v>32</v>
      </c>
      <c r="U211" s="548"/>
      <c r="V211" s="825">
        <f>+'Rep&amp;org. fig. YTD'!V226-'Rep&amp;org. fig. YTD'!V155</f>
        <v>8115</v>
      </c>
      <c r="W211" s="817"/>
      <c r="X211" s="277">
        <f t="shared" si="1"/>
        <v>-0.010769795618651323</v>
      </c>
      <c r="Y211" s="817"/>
      <c r="Z211" s="277">
        <f t="shared" si="2"/>
        <v>-0.030813328556073105</v>
      </c>
      <c r="AA211" s="816"/>
      <c r="AB211" s="278">
        <f>+V211/O211-1</f>
        <v>-0.02276011560693647</v>
      </c>
      <c r="AC211" s="202"/>
    </row>
    <row r="212" spans="2:29" ht="13.5" thickTop="1">
      <c r="B212" s="185"/>
      <c r="C212" s="111"/>
      <c r="D212" s="564"/>
      <c r="E212" s="565"/>
      <c r="F212" s="548"/>
      <c r="G212" s="597"/>
      <c r="H212" s="597"/>
      <c r="I212" s="597"/>
      <c r="J212" s="548"/>
      <c r="K212" s="597"/>
      <c r="L212" s="100"/>
      <c r="M212" s="100"/>
      <c r="N212" s="100"/>
      <c r="O212" s="595"/>
      <c r="P212" s="100"/>
      <c r="Q212" s="564"/>
      <c r="R212" s="565"/>
      <c r="S212" s="548"/>
      <c r="T212" s="566"/>
      <c r="U212" s="548"/>
      <c r="V212" s="826"/>
      <c r="W212" s="816"/>
      <c r="X212" s="837"/>
      <c r="Y212" s="816"/>
      <c r="Z212" s="837"/>
      <c r="AA212" s="816"/>
      <c r="AB212" s="921"/>
      <c r="AC212" s="202"/>
    </row>
    <row r="213" spans="2:29" ht="12.75">
      <c r="B213" s="185"/>
      <c r="C213" s="111"/>
      <c r="D213" s="258" t="s">
        <v>45</v>
      </c>
      <c r="E213" s="376"/>
      <c r="F213" s="234"/>
      <c r="G213" s="922"/>
      <c r="H213" s="922"/>
      <c r="I213" s="552"/>
      <c r="J213" s="548"/>
      <c r="K213" s="552"/>
      <c r="L213" s="548"/>
      <c r="M213" s="548"/>
      <c r="N213" s="548"/>
      <c r="O213" s="575"/>
      <c r="P213" s="234"/>
      <c r="Q213" s="258" t="s">
        <v>45</v>
      </c>
      <c r="R213" s="376"/>
      <c r="S213" s="234"/>
      <c r="T213" s="377"/>
      <c r="U213" s="234"/>
      <c r="V213" s="827"/>
      <c r="W213" s="817"/>
      <c r="X213" s="835"/>
      <c r="Y213" s="817"/>
      <c r="Z213" s="835"/>
      <c r="AA213" s="816"/>
      <c r="AB213" s="921"/>
      <c r="AC213" s="202"/>
    </row>
    <row r="214" spans="2:29" ht="12.75">
      <c r="B214" s="185"/>
      <c r="C214" s="111"/>
      <c r="D214" s="542" t="s">
        <v>7</v>
      </c>
      <c r="E214" s="543">
        <v>2673</v>
      </c>
      <c r="F214" s="573"/>
      <c r="G214" s="544">
        <v>3</v>
      </c>
      <c r="H214" s="544">
        <v>-2</v>
      </c>
      <c r="I214" s="574">
        <v>101</v>
      </c>
      <c r="J214" s="573"/>
      <c r="K214" s="544">
        <v>2775</v>
      </c>
      <c r="L214" s="548"/>
      <c r="M214" s="548"/>
      <c r="N214" s="548"/>
      <c r="O214" s="575"/>
      <c r="P214" s="548"/>
      <c r="Q214" s="542" t="s">
        <v>7</v>
      </c>
      <c r="R214" s="543">
        <f>+'Rep&amp;org. fig. YTD'!R229-'Rep&amp;org. fig. YTD'!R158</f>
        <v>1734</v>
      </c>
      <c r="S214" s="548"/>
      <c r="T214" s="544">
        <f aca="true" t="shared" si="3" ref="T214:T221">+V214-R214</f>
        <v>615</v>
      </c>
      <c r="U214" s="548"/>
      <c r="V214" s="547">
        <f>+'Rep&amp;org. fig. YTD'!V229-'Rep&amp;org. fig. YTD'!V158</f>
        <v>2349</v>
      </c>
      <c r="W214" s="817"/>
      <c r="X214" s="850">
        <f>+R214/E214-1</f>
        <v>-0.3512906846240179</v>
      </c>
      <c r="Y214" s="817"/>
      <c r="Z214" s="850">
        <f aca="true" t="shared" si="4" ref="Z214:Z221">+V214/K214-1</f>
        <v>-0.1535135135135135</v>
      </c>
      <c r="AA214" s="816"/>
      <c r="AB214" s="921"/>
      <c r="AC214" s="202"/>
    </row>
    <row r="215" spans="2:29" ht="12.75">
      <c r="B215" s="185"/>
      <c r="C215" s="111"/>
      <c r="D215" s="557" t="s">
        <v>8</v>
      </c>
      <c r="E215" s="551">
        <v>41</v>
      </c>
      <c r="F215" s="548"/>
      <c r="G215" s="552">
        <v>15</v>
      </c>
      <c r="H215" s="552">
        <v>0</v>
      </c>
      <c r="I215" s="576">
        <v>0</v>
      </c>
      <c r="J215" s="548"/>
      <c r="K215" s="552">
        <v>56</v>
      </c>
      <c r="L215" s="548"/>
      <c r="M215" s="548"/>
      <c r="N215" s="548"/>
      <c r="O215" s="575"/>
      <c r="P215" s="548"/>
      <c r="Q215" s="557" t="s">
        <v>8</v>
      </c>
      <c r="R215" s="558">
        <f>+'Rep&amp;org. fig. YTD'!R230-'Rep&amp;org. fig. YTD'!R159</f>
        <v>85</v>
      </c>
      <c r="S215" s="548"/>
      <c r="T215" s="552">
        <f t="shared" si="3"/>
        <v>0</v>
      </c>
      <c r="U215" s="548"/>
      <c r="V215" s="555">
        <f>+'Rep&amp;org. fig. YTD'!V230-'Rep&amp;org. fig. YTD'!V159</f>
        <v>85</v>
      </c>
      <c r="W215" s="817"/>
      <c r="X215" s="838">
        <f aca="true" t="shared" si="5" ref="X215:X221">+R215/E215-1</f>
        <v>1.0731707317073171</v>
      </c>
      <c r="Y215" s="817"/>
      <c r="Z215" s="838">
        <f t="shared" si="4"/>
        <v>0.5178571428571428</v>
      </c>
      <c r="AA215" s="816"/>
      <c r="AB215" s="921"/>
      <c r="AC215" s="202"/>
    </row>
    <row r="216" spans="2:29" ht="12.75">
      <c r="B216" s="185"/>
      <c r="C216" s="111"/>
      <c r="D216" s="557" t="s">
        <v>31</v>
      </c>
      <c r="E216" s="551">
        <v>346</v>
      </c>
      <c r="F216" s="548"/>
      <c r="G216" s="552">
        <v>0</v>
      </c>
      <c r="H216" s="552">
        <v>22</v>
      </c>
      <c r="I216" s="576">
        <v>0</v>
      </c>
      <c r="J216" s="548"/>
      <c r="K216" s="552">
        <v>368</v>
      </c>
      <c r="L216" s="548"/>
      <c r="M216" s="548"/>
      <c r="N216" s="548"/>
      <c r="O216" s="575"/>
      <c r="P216" s="548"/>
      <c r="Q216" s="557" t="s">
        <v>31</v>
      </c>
      <c r="R216" s="558">
        <f>+'Rep&amp;org. fig. YTD'!R231-'Rep&amp;org. fig. YTD'!R160</f>
        <v>383</v>
      </c>
      <c r="S216" s="548"/>
      <c r="T216" s="552">
        <f t="shared" si="3"/>
        <v>0</v>
      </c>
      <c r="U216" s="548"/>
      <c r="V216" s="555">
        <f>+'Rep&amp;org. fig. YTD'!V231-'Rep&amp;org. fig. YTD'!V160</f>
        <v>383</v>
      </c>
      <c r="W216" s="817"/>
      <c r="X216" s="838">
        <f t="shared" si="5"/>
        <v>0.10693641618497107</v>
      </c>
      <c r="Y216" s="817"/>
      <c r="Z216" s="838">
        <v>0.047</v>
      </c>
      <c r="AA216" s="816"/>
      <c r="AB216" s="921"/>
      <c r="AC216" s="202"/>
    </row>
    <row r="217" spans="2:29" ht="12.75">
      <c r="B217" s="185"/>
      <c r="C217" s="111"/>
      <c r="D217" s="557" t="s">
        <v>89</v>
      </c>
      <c r="E217" s="551">
        <v>-12</v>
      </c>
      <c r="F217" s="548"/>
      <c r="G217" s="552">
        <v>0</v>
      </c>
      <c r="H217" s="552">
        <v>0</v>
      </c>
      <c r="I217" s="576">
        <v>1</v>
      </c>
      <c r="J217" s="548"/>
      <c r="K217" s="552">
        <v>-11</v>
      </c>
      <c r="L217" s="379"/>
      <c r="M217" s="379"/>
      <c r="N217" s="379"/>
      <c r="O217" s="380"/>
      <c r="P217" s="379"/>
      <c r="Q217" s="557" t="s">
        <v>89</v>
      </c>
      <c r="R217" s="561">
        <f>+'Rep&amp;org. fig. YTD'!R232-'Rep&amp;org. fig. YTD'!R161</f>
        <v>-17</v>
      </c>
      <c r="S217" s="548"/>
      <c r="T217" s="552">
        <f t="shared" si="3"/>
        <v>1</v>
      </c>
      <c r="U217" s="548"/>
      <c r="V217" s="555">
        <f>+'Rep&amp;org. fig. YTD'!V232-'Rep&amp;org. fig. YTD'!V161</f>
        <v>-16</v>
      </c>
      <c r="W217" s="819"/>
      <c r="X217" s="838">
        <f>-(+R217/E217-1)</f>
        <v>-0.41666666666666674</v>
      </c>
      <c r="Y217" s="819"/>
      <c r="Z217" s="838">
        <f>-(+V217/K217-1)</f>
        <v>-0.4545454545454546</v>
      </c>
      <c r="AA217" s="816"/>
      <c r="AB217" s="921"/>
      <c r="AC217" s="202"/>
    </row>
    <row r="218" spans="2:29" ht="12.75">
      <c r="B218" s="185"/>
      <c r="C218" s="111"/>
      <c r="D218" s="557" t="s">
        <v>9</v>
      </c>
      <c r="E218" s="551">
        <v>3</v>
      </c>
      <c r="F218" s="548"/>
      <c r="G218" s="552">
        <v>-3</v>
      </c>
      <c r="H218" s="552">
        <v>-2</v>
      </c>
      <c r="I218" s="576">
        <v>11</v>
      </c>
      <c r="J218" s="548"/>
      <c r="K218" s="552">
        <v>9</v>
      </c>
      <c r="L218" s="548"/>
      <c r="M218" s="548"/>
      <c r="N218" s="548"/>
      <c r="O218" s="575"/>
      <c r="P218" s="548"/>
      <c r="Q218" s="557" t="s">
        <v>9</v>
      </c>
      <c r="R218" s="561">
        <f>+'Rep&amp;org. fig. YTD'!R233-'Rep&amp;org. fig. YTD'!R162</f>
        <v>-23</v>
      </c>
      <c r="S218" s="548"/>
      <c r="T218" s="552">
        <f t="shared" si="3"/>
        <v>24</v>
      </c>
      <c r="U218" s="548"/>
      <c r="V218" s="555">
        <f>+'Rep&amp;org. fig. YTD'!V233-'Rep&amp;org. fig. YTD'!V162</f>
        <v>1</v>
      </c>
      <c r="W218" s="817"/>
      <c r="X218" s="923" t="s">
        <v>333</v>
      </c>
      <c r="Y218" s="817"/>
      <c r="Z218" s="838">
        <f t="shared" si="4"/>
        <v>-0.8888888888888888</v>
      </c>
      <c r="AA218" s="816"/>
      <c r="AB218" s="921"/>
      <c r="AC218" s="202"/>
    </row>
    <row r="219" spans="2:29" ht="12.75">
      <c r="B219" s="185"/>
      <c r="C219" s="111"/>
      <c r="D219" s="619" t="s">
        <v>187</v>
      </c>
      <c r="E219" s="558">
        <v>15</v>
      </c>
      <c r="F219" s="548"/>
      <c r="G219" s="552">
        <v>0</v>
      </c>
      <c r="H219" s="552">
        <v>-3</v>
      </c>
      <c r="I219" s="576">
        <v>0</v>
      </c>
      <c r="J219" s="548"/>
      <c r="K219" s="552">
        <v>12</v>
      </c>
      <c r="L219" s="548"/>
      <c r="M219" s="548"/>
      <c r="N219" s="548"/>
      <c r="O219" s="575"/>
      <c r="P219" s="548"/>
      <c r="Q219" s="619" t="s">
        <v>187</v>
      </c>
      <c r="R219" s="558">
        <f>+'Rep&amp;org. fig. YTD'!R234-'Rep&amp;org. fig. YTD'!R163</f>
        <v>28</v>
      </c>
      <c r="S219" s="548"/>
      <c r="T219" s="552">
        <f t="shared" si="3"/>
        <v>0</v>
      </c>
      <c r="U219" s="548"/>
      <c r="V219" s="555">
        <f>+'Rep&amp;org. fig. YTD'!V234-'Rep&amp;org. fig. YTD'!V163</f>
        <v>28</v>
      </c>
      <c r="W219" s="817"/>
      <c r="X219" s="838">
        <f t="shared" si="5"/>
        <v>0.8666666666666667</v>
      </c>
      <c r="Y219" s="817"/>
      <c r="Z219" s="838">
        <f t="shared" si="4"/>
        <v>1.3333333333333335</v>
      </c>
      <c r="AA219" s="816"/>
      <c r="AB219" s="921"/>
      <c r="AC219" s="202"/>
    </row>
    <row r="220" spans="2:29" ht="12.75">
      <c r="B220" s="185"/>
      <c r="C220" s="111"/>
      <c r="D220" s="619" t="s">
        <v>188</v>
      </c>
      <c r="E220" s="558">
        <v>-2</v>
      </c>
      <c r="F220" s="548"/>
      <c r="G220" s="552">
        <v>0</v>
      </c>
      <c r="H220" s="552">
        <v>0</v>
      </c>
      <c r="I220" s="576">
        <v>0</v>
      </c>
      <c r="J220" s="548"/>
      <c r="K220" s="552">
        <v>-2</v>
      </c>
      <c r="L220" s="548"/>
      <c r="M220" s="548"/>
      <c r="N220" s="548"/>
      <c r="O220" s="548"/>
      <c r="P220" s="582"/>
      <c r="Q220" s="619" t="s">
        <v>190</v>
      </c>
      <c r="R220" s="561">
        <f>+'Rep&amp;org. fig. YTD'!R235-'Rep&amp;org. fig. YTD'!R164</f>
        <v>-6</v>
      </c>
      <c r="S220" s="548"/>
      <c r="T220" s="552">
        <f t="shared" si="3"/>
        <v>0</v>
      </c>
      <c r="U220" s="548"/>
      <c r="V220" s="555">
        <f>+'Rep&amp;org. fig. YTD'!V235-'Rep&amp;org. fig. YTD'!V164</f>
        <v>-6</v>
      </c>
      <c r="W220" s="817"/>
      <c r="X220" s="838"/>
      <c r="Y220" s="817"/>
      <c r="Z220" s="838"/>
      <c r="AA220" s="816"/>
      <c r="AB220" s="921"/>
      <c r="AC220" s="202"/>
    </row>
    <row r="221" spans="2:29" ht="12.75">
      <c r="B221" s="185"/>
      <c r="C221" s="111"/>
      <c r="D221" s="272" t="s">
        <v>10</v>
      </c>
      <c r="E221" s="924">
        <v>3064</v>
      </c>
      <c r="F221" s="579"/>
      <c r="G221" s="275">
        <v>15</v>
      </c>
      <c r="H221" s="275">
        <v>15</v>
      </c>
      <c r="I221" s="663">
        <v>113</v>
      </c>
      <c r="J221" s="579"/>
      <c r="K221" s="275">
        <v>3207</v>
      </c>
      <c r="L221" s="548"/>
      <c r="M221" s="548"/>
      <c r="N221" s="548"/>
      <c r="O221" s="548"/>
      <c r="P221" s="582"/>
      <c r="Q221" s="272" t="s">
        <v>10</v>
      </c>
      <c r="R221" s="273">
        <f>+'Rep&amp;org. fig. YTD'!R236-'Rep&amp;org. fig. YTD'!R165</f>
        <v>2184</v>
      </c>
      <c r="S221" s="548"/>
      <c r="T221" s="275">
        <f t="shared" si="3"/>
        <v>640</v>
      </c>
      <c r="U221" s="548"/>
      <c r="V221" s="276">
        <f>+'Rep&amp;org. fig. YTD'!V236-'Rep&amp;org. fig. YTD'!V165</f>
        <v>2824</v>
      </c>
      <c r="W221" s="817"/>
      <c r="X221" s="845">
        <f t="shared" si="5"/>
        <v>-0.28720626631853785</v>
      </c>
      <c r="Y221" s="817"/>
      <c r="Z221" s="845">
        <f t="shared" si="4"/>
        <v>-0.11942625506704085</v>
      </c>
      <c r="AA221" s="816"/>
      <c r="AB221" s="921"/>
      <c r="AC221" s="202"/>
    </row>
    <row r="222" spans="2:29" ht="12.75">
      <c r="B222" s="185"/>
      <c r="C222" s="568"/>
      <c r="D222" s="581"/>
      <c r="E222" s="561"/>
      <c r="F222" s="548"/>
      <c r="G222" s="577"/>
      <c r="H222" s="577"/>
      <c r="I222" s="552"/>
      <c r="J222" s="548"/>
      <c r="K222" s="552"/>
      <c r="L222" s="548"/>
      <c r="M222" s="548"/>
      <c r="N222" s="548"/>
      <c r="O222" s="548"/>
      <c r="P222" s="582"/>
      <c r="Q222" s="581"/>
      <c r="R222" s="561"/>
      <c r="S222" s="573"/>
      <c r="T222" s="552"/>
      <c r="U222" s="573"/>
      <c r="V222" s="555"/>
      <c r="W222" s="817"/>
      <c r="X222" s="835"/>
      <c r="Y222" s="817"/>
      <c r="Z222" s="835"/>
      <c r="AA222" s="816"/>
      <c r="AB222" s="921"/>
      <c r="AC222" s="202"/>
    </row>
    <row r="223" spans="2:29" ht="12.75">
      <c r="B223" s="185"/>
      <c r="C223" s="111"/>
      <c r="D223" s="258" t="s">
        <v>67</v>
      </c>
      <c r="E223" s="583"/>
      <c r="F223" s="548"/>
      <c r="G223" s="577"/>
      <c r="H223" s="577"/>
      <c r="I223" s="552"/>
      <c r="J223" s="548"/>
      <c r="K223" s="552"/>
      <c r="L223" s="548"/>
      <c r="M223" s="548"/>
      <c r="N223" s="548"/>
      <c r="O223" s="548"/>
      <c r="P223" s="582"/>
      <c r="Q223" s="258" t="s">
        <v>67</v>
      </c>
      <c r="R223" s="583"/>
      <c r="S223" s="548"/>
      <c r="T223" s="552"/>
      <c r="U223" s="548"/>
      <c r="V223" s="555"/>
      <c r="W223" s="817"/>
      <c r="X223" s="835"/>
      <c r="Y223" s="817"/>
      <c r="Z223" s="835"/>
      <c r="AA223" s="816"/>
      <c r="AB223" s="921"/>
      <c r="AC223" s="202"/>
    </row>
    <row r="224" spans="2:29" ht="12.75">
      <c r="B224" s="185"/>
      <c r="C224" s="111"/>
      <c r="D224" s="542" t="s">
        <v>7</v>
      </c>
      <c r="E224" s="584">
        <v>0.40734532154830844</v>
      </c>
      <c r="F224" s="573"/>
      <c r="G224" s="585"/>
      <c r="H224" s="585"/>
      <c r="I224" s="544"/>
      <c r="J224" s="573"/>
      <c r="K224" s="614">
        <v>0.4233409610983982</v>
      </c>
      <c r="L224" s="548"/>
      <c r="M224" s="548"/>
      <c r="N224" s="548"/>
      <c r="O224" s="548"/>
      <c r="P224" s="582"/>
      <c r="Q224" s="542" t="s">
        <v>7</v>
      </c>
      <c r="R224" s="584">
        <f>+R214/R$202</f>
        <v>0.2837041884816754</v>
      </c>
      <c r="S224" s="548"/>
      <c r="T224" s="544"/>
      <c r="U224" s="548"/>
      <c r="V224" s="828">
        <f>+V214/V$202</f>
        <v>0.38232421875</v>
      </c>
      <c r="W224" s="817"/>
      <c r="X224" s="849">
        <f aca="true" t="shared" si="6" ref="X224:X229">+(R224-E224)*100</f>
        <v>-12.364113306663304</v>
      </c>
      <c r="Y224" s="817"/>
      <c r="Z224" s="849">
        <f aca="true" t="shared" si="7" ref="Z224:Z229">+(V224-K224)*100</f>
        <v>-4.10167423483982</v>
      </c>
      <c r="AA224" s="816"/>
      <c r="AB224" s="921"/>
      <c r="AC224" s="202"/>
    </row>
    <row r="225" spans="2:29" ht="12.75">
      <c r="B225" s="185"/>
      <c r="C225" s="111"/>
      <c r="D225" s="557" t="s">
        <v>8</v>
      </c>
      <c r="E225" s="588">
        <v>0.16205533596837945</v>
      </c>
      <c r="F225" s="548"/>
      <c r="G225" s="577"/>
      <c r="H225" s="577"/>
      <c r="I225" s="552"/>
      <c r="J225" s="548"/>
      <c r="K225" s="685">
        <v>0.1462140992167102</v>
      </c>
      <c r="L225" s="548"/>
      <c r="M225" s="548"/>
      <c r="N225" s="548"/>
      <c r="O225" s="575"/>
      <c r="P225" s="548"/>
      <c r="Q225" s="557" t="s">
        <v>8</v>
      </c>
      <c r="R225" s="588">
        <f>+R215/R$205</f>
        <v>0.19362186788154898</v>
      </c>
      <c r="S225" s="548"/>
      <c r="T225" s="552"/>
      <c r="U225" s="548"/>
      <c r="V225" s="829">
        <f>+V215/V$205</f>
        <v>0.19362186788154898</v>
      </c>
      <c r="W225" s="817"/>
      <c r="X225" s="839">
        <f t="shared" si="6"/>
        <v>3.156653191316952</v>
      </c>
      <c r="Y225" s="817"/>
      <c r="Z225" s="839">
        <f t="shared" si="7"/>
        <v>4.740776866483879</v>
      </c>
      <c r="AA225" s="816"/>
      <c r="AB225" s="921"/>
      <c r="AC225" s="202"/>
    </row>
    <row r="226" spans="2:29" ht="12.75">
      <c r="B226" s="185"/>
      <c r="C226" s="111"/>
      <c r="D226" s="557" t="s">
        <v>31</v>
      </c>
      <c r="E226" s="588">
        <v>0.295221843003413</v>
      </c>
      <c r="F226" s="379"/>
      <c r="G226" s="280"/>
      <c r="H226" s="280"/>
      <c r="I226" s="383"/>
      <c r="J226" s="379"/>
      <c r="K226" s="685">
        <v>0.2920634920634921</v>
      </c>
      <c r="L226" s="379"/>
      <c r="M226" s="379"/>
      <c r="N226" s="379"/>
      <c r="O226" s="380"/>
      <c r="P226" s="379"/>
      <c r="Q226" s="557" t="s">
        <v>31</v>
      </c>
      <c r="R226" s="588">
        <f>+R216/R$206</f>
        <v>0.2761355443403028</v>
      </c>
      <c r="S226" s="379"/>
      <c r="T226" s="383"/>
      <c r="U226" s="379"/>
      <c r="V226" s="829">
        <f>+V216/V$206</f>
        <v>0.2761355443403028</v>
      </c>
      <c r="W226" s="819"/>
      <c r="X226" s="839">
        <f t="shared" si="6"/>
        <v>-1.908629866311018</v>
      </c>
      <c r="Y226" s="819"/>
      <c r="Z226" s="839">
        <f t="shared" si="7"/>
        <v>-1.5927947723189284</v>
      </c>
      <c r="AA226" s="816"/>
      <c r="AB226" s="921"/>
      <c r="AC226" s="202"/>
    </row>
    <row r="227" spans="2:29" ht="12.75">
      <c r="B227" s="185"/>
      <c r="C227" s="111"/>
      <c r="D227" s="557" t="s">
        <v>89</v>
      </c>
      <c r="E227" s="588">
        <v>-0.16901408450704225</v>
      </c>
      <c r="F227" s="379"/>
      <c r="G227" s="280"/>
      <c r="H227" s="280"/>
      <c r="I227" s="383"/>
      <c r="J227" s="379"/>
      <c r="K227" s="685">
        <v>-0.15492957746478872</v>
      </c>
      <c r="L227" s="379"/>
      <c r="M227" s="379"/>
      <c r="N227" s="379"/>
      <c r="O227" s="380"/>
      <c r="P227" s="379"/>
      <c r="Q227" s="557" t="s">
        <v>89</v>
      </c>
      <c r="R227" s="588">
        <f>+R217/R$207</f>
        <v>-0.2</v>
      </c>
      <c r="S227" s="379"/>
      <c r="T227" s="383"/>
      <c r="U227" s="379"/>
      <c r="V227" s="829">
        <f>+V217/V$207</f>
        <v>-0.18823529411764706</v>
      </c>
      <c r="W227" s="819"/>
      <c r="X227" s="839">
        <f t="shared" si="6"/>
        <v>-3.098591549295776</v>
      </c>
      <c r="Y227" s="819"/>
      <c r="Z227" s="839">
        <f t="shared" si="7"/>
        <v>-3.3305716652858335</v>
      </c>
      <c r="AA227" s="816"/>
      <c r="AB227" s="921"/>
      <c r="AC227" s="202"/>
    </row>
    <row r="228" spans="2:29" ht="12.75">
      <c r="B228" s="185"/>
      <c r="C228" s="111"/>
      <c r="D228" s="557" t="s">
        <v>9</v>
      </c>
      <c r="E228" s="588">
        <v>0.02112676056338028</v>
      </c>
      <c r="F228" s="379"/>
      <c r="G228" s="280"/>
      <c r="H228" s="280"/>
      <c r="I228" s="383"/>
      <c r="J228" s="379"/>
      <c r="K228" s="685">
        <v>0.06338028169014084</v>
      </c>
      <c r="L228" s="379"/>
      <c r="M228" s="379"/>
      <c r="N228" s="379"/>
      <c r="O228" s="380"/>
      <c r="P228" s="379"/>
      <c r="Q228" s="557" t="s">
        <v>9</v>
      </c>
      <c r="R228" s="588">
        <f>+R218/R$208</f>
        <v>-0.184</v>
      </c>
      <c r="S228" s="379"/>
      <c r="T228" s="383"/>
      <c r="U228" s="379"/>
      <c r="V228" s="829">
        <f>+V218/V$208</f>
        <v>0.008</v>
      </c>
      <c r="W228" s="819"/>
      <c r="X228" s="839">
        <f t="shared" si="6"/>
        <v>-20.512676056338027</v>
      </c>
      <c r="Y228" s="819"/>
      <c r="Z228" s="839">
        <f t="shared" si="7"/>
        <v>-5.538028169014084</v>
      </c>
      <c r="AA228" s="816"/>
      <c r="AB228" s="921"/>
      <c r="AC228" s="202"/>
    </row>
    <row r="229" spans="2:29" ht="12.75">
      <c r="B229" s="185"/>
      <c r="C229" s="111"/>
      <c r="D229" s="272" t="s">
        <v>10</v>
      </c>
      <c r="E229" s="281">
        <v>0.3749847019948599</v>
      </c>
      <c r="F229" s="592"/>
      <c r="G229" s="593"/>
      <c r="H229" s="593"/>
      <c r="I229" s="593"/>
      <c r="J229" s="592"/>
      <c r="K229" s="686">
        <v>0.3830168398423504</v>
      </c>
      <c r="L229" s="100"/>
      <c r="M229" s="100"/>
      <c r="N229" s="100"/>
      <c r="O229" s="595"/>
      <c r="P229" s="100"/>
      <c r="Q229" s="272" t="s">
        <v>10</v>
      </c>
      <c r="R229" s="281">
        <f>+R221/R$211</f>
        <v>0.27019670914264504</v>
      </c>
      <c r="S229" s="100"/>
      <c r="T229" s="593"/>
      <c r="U229" s="100"/>
      <c r="V229" s="830">
        <f>+V221/V$211</f>
        <v>0.3479975354282194</v>
      </c>
      <c r="W229" s="816"/>
      <c r="X229" s="866">
        <f t="shared" si="6"/>
        <v>-10.478799285221484</v>
      </c>
      <c r="Y229" s="867"/>
      <c r="Z229" s="866">
        <f t="shared" si="7"/>
        <v>-3.5019304414131036</v>
      </c>
      <c r="AA229" s="816"/>
      <c r="AB229" s="921"/>
      <c r="AC229" s="202"/>
    </row>
    <row r="230" spans="2:29" ht="12.75">
      <c r="B230" s="185"/>
      <c r="C230" s="111"/>
      <c r="D230" s="283"/>
      <c r="E230" s="284"/>
      <c r="F230" s="100"/>
      <c r="G230" s="597"/>
      <c r="H230" s="597"/>
      <c r="I230" s="597"/>
      <c r="J230" s="100"/>
      <c r="K230" s="597"/>
      <c r="L230" s="100"/>
      <c r="M230" s="100"/>
      <c r="N230" s="100"/>
      <c r="O230" s="595"/>
      <c r="P230" s="100"/>
      <c r="Q230" s="283"/>
      <c r="R230" s="284"/>
      <c r="S230" s="100"/>
      <c r="T230" s="597"/>
      <c r="U230" s="100"/>
      <c r="V230" s="831"/>
      <c r="W230" s="816"/>
      <c r="X230" s="837"/>
      <c r="Y230" s="816"/>
      <c r="Z230" s="837"/>
      <c r="AA230" s="816"/>
      <c r="AB230" s="921"/>
      <c r="AC230" s="202"/>
    </row>
    <row r="231" spans="2:29" ht="12.75">
      <c r="B231" s="441"/>
      <c r="C231" s="100"/>
      <c r="D231" s="258" t="s">
        <v>47</v>
      </c>
      <c r="E231" s="376"/>
      <c r="F231" s="234"/>
      <c r="G231" s="922"/>
      <c r="H231" s="922"/>
      <c r="I231" s="552"/>
      <c r="J231" s="548"/>
      <c r="K231" s="552"/>
      <c r="L231" s="548"/>
      <c r="M231" s="548"/>
      <c r="N231" s="548"/>
      <c r="O231" s="575"/>
      <c r="P231" s="234"/>
      <c r="Q231" s="258" t="s">
        <v>47</v>
      </c>
      <c r="R231" s="376"/>
      <c r="S231" s="234"/>
      <c r="T231" s="377"/>
      <c r="U231" s="234"/>
      <c r="V231" s="827"/>
      <c r="W231" s="817"/>
      <c r="X231" s="835"/>
      <c r="Y231" s="817"/>
      <c r="Z231" s="835"/>
      <c r="AA231" s="816"/>
      <c r="AB231" s="921"/>
      <c r="AC231" s="202"/>
    </row>
    <row r="232" spans="2:29" ht="12.75">
      <c r="B232" s="441"/>
      <c r="C232" s="100"/>
      <c r="D232" s="612" t="s">
        <v>7</v>
      </c>
      <c r="E232" s="600">
        <v>1793</v>
      </c>
      <c r="F232" s="573"/>
      <c r="G232" s="544">
        <v>3</v>
      </c>
      <c r="H232" s="544">
        <v>0</v>
      </c>
      <c r="I232" s="574">
        <v>106</v>
      </c>
      <c r="J232" s="573"/>
      <c r="K232" s="544">
        <v>1902</v>
      </c>
      <c r="L232" s="548"/>
      <c r="M232" s="548"/>
      <c r="N232" s="548"/>
      <c r="O232" s="575"/>
      <c r="P232" s="548"/>
      <c r="Q232" s="542" t="s">
        <v>7</v>
      </c>
      <c r="R232" s="600">
        <f>+'Rep&amp;org. fig. YTD'!R247-'Rep&amp;org. fig. YTD'!R176</f>
        <v>567</v>
      </c>
      <c r="S232" s="548"/>
      <c r="T232" s="544">
        <f aca="true" t="shared" si="8" ref="T232:T239">+V232-R232</f>
        <v>612</v>
      </c>
      <c r="U232" s="548"/>
      <c r="V232" s="547">
        <f>+'Rep&amp;org. fig. YTD'!V247-'Rep&amp;org. fig. YTD'!V176</f>
        <v>1179</v>
      </c>
      <c r="W232" s="817"/>
      <c r="X232" s="850">
        <f aca="true" t="shared" si="9" ref="X232:X239">+R232/E232-1</f>
        <v>-0.6837702175125489</v>
      </c>
      <c r="Y232" s="817"/>
      <c r="Z232" s="850">
        <f>+V232/K232-1</f>
        <v>-0.38012618296529965</v>
      </c>
      <c r="AA232" s="816"/>
      <c r="AB232" s="921"/>
      <c r="AC232" s="202"/>
    </row>
    <row r="233" spans="2:29" ht="12.75">
      <c r="B233" s="441"/>
      <c r="C233" s="100"/>
      <c r="D233" s="619" t="s">
        <v>8</v>
      </c>
      <c r="E233" s="561">
        <v>-19</v>
      </c>
      <c r="F233" s="548"/>
      <c r="G233" s="552">
        <v>13</v>
      </c>
      <c r="H233" s="552">
        <v>0</v>
      </c>
      <c r="I233" s="576">
        <v>0</v>
      </c>
      <c r="J233" s="548"/>
      <c r="K233" s="552">
        <v>-6</v>
      </c>
      <c r="L233" s="548"/>
      <c r="M233" s="548"/>
      <c r="N233" s="548"/>
      <c r="O233" s="575"/>
      <c r="P233" s="548"/>
      <c r="Q233" s="557" t="s">
        <v>8</v>
      </c>
      <c r="R233" s="561">
        <f>+'Rep&amp;org. fig. YTD'!R248-'Rep&amp;org. fig. YTD'!R177</f>
        <v>-10</v>
      </c>
      <c r="S233" s="548"/>
      <c r="T233" s="552">
        <f t="shared" si="8"/>
        <v>0</v>
      </c>
      <c r="U233" s="548"/>
      <c r="V233" s="555">
        <f>+'Rep&amp;org. fig. YTD'!V248-'Rep&amp;org. fig. YTD'!V177</f>
        <v>-10</v>
      </c>
      <c r="W233" s="817"/>
      <c r="X233" s="838">
        <f>-(+R233/E233-1)</f>
        <v>0.4736842105263158</v>
      </c>
      <c r="Y233" s="817"/>
      <c r="Z233" s="838">
        <f>-(+V233/K233-1)</f>
        <v>-0.6666666666666667</v>
      </c>
      <c r="AA233" s="816"/>
      <c r="AB233" s="921"/>
      <c r="AC233" s="202"/>
    </row>
    <row r="234" spans="2:29" ht="12.75">
      <c r="B234" s="185"/>
      <c r="C234" s="111"/>
      <c r="D234" s="557" t="s">
        <v>31</v>
      </c>
      <c r="E234" s="561">
        <v>68</v>
      </c>
      <c r="F234" s="548"/>
      <c r="G234" s="552">
        <v>0</v>
      </c>
      <c r="H234" s="552">
        <v>4</v>
      </c>
      <c r="I234" s="576">
        <v>0</v>
      </c>
      <c r="J234" s="548"/>
      <c r="K234" s="552">
        <v>72</v>
      </c>
      <c r="L234" s="548"/>
      <c r="M234" s="548"/>
      <c r="N234" s="548"/>
      <c r="O234" s="575"/>
      <c r="P234" s="548"/>
      <c r="Q234" s="557" t="s">
        <v>31</v>
      </c>
      <c r="R234" s="561">
        <f>+'Rep&amp;org. fig. YTD'!R249-'Rep&amp;org. fig. YTD'!R178</f>
        <v>106</v>
      </c>
      <c r="S234" s="548"/>
      <c r="T234" s="552">
        <f t="shared" si="8"/>
        <v>0</v>
      </c>
      <c r="U234" s="548"/>
      <c r="V234" s="555">
        <f>+'Rep&amp;org. fig. YTD'!V249-'Rep&amp;org. fig. YTD'!V178</f>
        <v>106</v>
      </c>
      <c r="W234" s="817"/>
      <c r="X234" s="838">
        <f t="shared" si="9"/>
        <v>0.5588235294117647</v>
      </c>
      <c r="Y234" s="817"/>
      <c r="Z234" s="838">
        <v>0.511</v>
      </c>
      <c r="AA234" s="816"/>
      <c r="AB234" s="921"/>
      <c r="AC234" s="202"/>
    </row>
    <row r="235" spans="2:29" ht="12.75">
      <c r="B235" s="185"/>
      <c r="C235" s="111"/>
      <c r="D235" s="557" t="s">
        <v>89</v>
      </c>
      <c r="E235" s="561">
        <v>-26</v>
      </c>
      <c r="F235" s="548"/>
      <c r="G235" s="552">
        <v>0</v>
      </c>
      <c r="H235" s="552">
        <v>0</v>
      </c>
      <c r="I235" s="576">
        <v>0</v>
      </c>
      <c r="J235" s="548"/>
      <c r="K235" s="552">
        <v>-26</v>
      </c>
      <c r="L235" s="379"/>
      <c r="M235" s="379"/>
      <c r="N235" s="379"/>
      <c r="O235" s="380"/>
      <c r="P235" s="379"/>
      <c r="Q235" s="557" t="s">
        <v>89</v>
      </c>
      <c r="R235" s="561">
        <f>+'Rep&amp;org. fig. YTD'!R250-'Rep&amp;org. fig. YTD'!R179</f>
        <v>-33</v>
      </c>
      <c r="S235" s="548"/>
      <c r="T235" s="552">
        <f t="shared" si="8"/>
        <v>1</v>
      </c>
      <c r="U235" s="548"/>
      <c r="V235" s="555">
        <f>+'Rep&amp;org. fig. YTD'!V250-'Rep&amp;org. fig. YTD'!V179</f>
        <v>-32</v>
      </c>
      <c r="W235" s="819"/>
      <c r="X235" s="838">
        <f>-(+R235/E235-1)</f>
        <v>-0.26923076923076916</v>
      </c>
      <c r="Y235" s="819"/>
      <c r="Z235" s="838">
        <f>-(+V235/K235-1)</f>
        <v>-0.23076923076923084</v>
      </c>
      <c r="AA235" s="816"/>
      <c r="AB235" s="921"/>
      <c r="AC235" s="202"/>
    </row>
    <row r="236" spans="2:29" ht="12.75">
      <c r="B236" s="185"/>
      <c r="C236" s="111"/>
      <c r="D236" s="557" t="s">
        <v>9</v>
      </c>
      <c r="E236" s="561">
        <v>-1</v>
      </c>
      <c r="F236" s="548"/>
      <c r="G236" s="552">
        <v>-3</v>
      </c>
      <c r="H236" s="552">
        <v>-2</v>
      </c>
      <c r="I236" s="576">
        <v>10</v>
      </c>
      <c r="J236" s="548"/>
      <c r="K236" s="552">
        <v>4</v>
      </c>
      <c r="L236" s="548"/>
      <c r="M236" s="548"/>
      <c r="N236" s="548"/>
      <c r="O236" s="575"/>
      <c r="P236" s="548"/>
      <c r="Q236" s="557" t="s">
        <v>9</v>
      </c>
      <c r="R236" s="561">
        <f>+'Rep&amp;org. fig. YTD'!R251-'Rep&amp;org. fig. YTD'!R180</f>
        <v>-34</v>
      </c>
      <c r="S236" s="548"/>
      <c r="T236" s="552">
        <f t="shared" si="8"/>
        <v>32</v>
      </c>
      <c r="U236" s="548"/>
      <c r="V236" s="555">
        <f>+'Rep&amp;org. fig. YTD'!V251-'Rep&amp;org. fig. YTD'!V180</f>
        <v>-2</v>
      </c>
      <c r="W236" s="817"/>
      <c r="X236" s="923" t="s">
        <v>333</v>
      </c>
      <c r="Y236" s="817"/>
      <c r="Z236" s="923" t="s">
        <v>333</v>
      </c>
      <c r="AA236" s="816"/>
      <c r="AB236" s="921"/>
      <c r="AC236" s="202"/>
    </row>
    <row r="237" spans="2:29" ht="12.75">
      <c r="B237" s="185"/>
      <c r="C237" s="111"/>
      <c r="D237" s="557" t="s">
        <v>187</v>
      </c>
      <c r="E237" s="561">
        <v>6</v>
      </c>
      <c r="F237" s="548"/>
      <c r="G237" s="552">
        <v>0</v>
      </c>
      <c r="H237" s="552">
        <v>-1</v>
      </c>
      <c r="I237" s="576">
        <v>0</v>
      </c>
      <c r="J237" s="548"/>
      <c r="K237" s="552">
        <v>5</v>
      </c>
      <c r="L237" s="548"/>
      <c r="M237" s="548"/>
      <c r="N237" s="548"/>
      <c r="O237" s="575"/>
      <c r="P237" s="548"/>
      <c r="Q237" s="557" t="s">
        <v>187</v>
      </c>
      <c r="R237" s="561">
        <f>+'Rep&amp;org. fig. YTD'!R252-'Rep&amp;org. fig. YTD'!R181</f>
        <v>21</v>
      </c>
      <c r="S237" s="548"/>
      <c r="T237" s="552">
        <f t="shared" si="8"/>
        <v>0</v>
      </c>
      <c r="U237" s="548"/>
      <c r="V237" s="555">
        <f>+'Rep&amp;org. fig. YTD'!V252-'Rep&amp;org. fig. YTD'!V181</f>
        <v>21</v>
      </c>
      <c r="W237" s="817"/>
      <c r="X237" s="838">
        <f t="shared" si="9"/>
        <v>2.5</v>
      </c>
      <c r="Y237" s="817"/>
      <c r="Z237" s="838">
        <f>+V237/K237-1</f>
        <v>3.2</v>
      </c>
      <c r="AA237" s="816"/>
      <c r="AB237" s="921"/>
      <c r="AC237" s="202"/>
    </row>
    <row r="238" spans="2:29" ht="12.75">
      <c r="B238" s="185"/>
      <c r="C238" s="111"/>
      <c r="D238" s="557" t="s">
        <v>188</v>
      </c>
      <c r="E238" s="561">
        <v>-5</v>
      </c>
      <c r="F238" s="548"/>
      <c r="G238" s="552">
        <v>0</v>
      </c>
      <c r="H238" s="552">
        <v>0</v>
      </c>
      <c r="I238" s="576">
        <v>9</v>
      </c>
      <c r="J238" s="548"/>
      <c r="K238" s="552">
        <v>4</v>
      </c>
      <c r="L238" s="548"/>
      <c r="M238" s="548"/>
      <c r="N238" s="548"/>
      <c r="O238" s="575"/>
      <c r="P238" s="548"/>
      <c r="Q238" s="619" t="s">
        <v>188</v>
      </c>
      <c r="R238" s="561">
        <f>+'Rep&amp;org. fig. YTD'!R253-'Rep&amp;org. fig. YTD'!R182</f>
        <v>9</v>
      </c>
      <c r="S238" s="548"/>
      <c r="T238" s="552">
        <f t="shared" si="8"/>
        <v>0</v>
      </c>
      <c r="U238" s="548"/>
      <c r="V238" s="555">
        <f>+'Rep&amp;org. fig. YTD'!V253-'Rep&amp;org. fig. YTD'!V182</f>
        <v>9</v>
      </c>
      <c r="W238" s="817"/>
      <c r="X238" s="838"/>
      <c r="Y238" s="817"/>
      <c r="Z238" s="838"/>
      <c r="AA238" s="816"/>
      <c r="AB238" s="921"/>
      <c r="AC238" s="202"/>
    </row>
    <row r="239" spans="2:29" ht="12.75">
      <c r="B239" s="185"/>
      <c r="C239" s="111"/>
      <c r="D239" s="272" t="s">
        <v>10</v>
      </c>
      <c r="E239" s="384">
        <v>1816</v>
      </c>
      <c r="F239" s="579"/>
      <c r="G239" s="275">
        <v>13</v>
      </c>
      <c r="H239" s="275">
        <v>1</v>
      </c>
      <c r="I239" s="663">
        <v>125</v>
      </c>
      <c r="J239" s="579"/>
      <c r="K239" s="275">
        <v>1955</v>
      </c>
      <c r="L239" s="548"/>
      <c r="M239" s="548"/>
      <c r="N239" s="548"/>
      <c r="O239" s="575"/>
      <c r="P239" s="548"/>
      <c r="Q239" s="272" t="s">
        <v>10</v>
      </c>
      <c r="R239" s="384">
        <f>+'Rep&amp;org. fig. YTD'!R254-'Rep&amp;org. fig. YTD'!R183</f>
        <v>626</v>
      </c>
      <c r="S239" s="548"/>
      <c r="T239" s="275">
        <f t="shared" si="8"/>
        <v>645</v>
      </c>
      <c r="U239" s="548"/>
      <c r="V239" s="276">
        <f>+'Rep&amp;org. fig. YTD'!V254-'Rep&amp;org. fig. YTD'!V183</f>
        <v>1271</v>
      </c>
      <c r="W239" s="817"/>
      <c r="X239" s="845">
        <f t="shared" si="9"/>
        <v>-0.6552863436123348</v>
      </c>
      <c r="Y239" s="817"/>
      <c r="Z239" s="845">
        <f>+V239/K239-1</f>
        <v>-0.3498721227621483</v>
      </c>
      <c r="AA239" s="816"/>
      <c r="AB239" s="921"/>
      <c r="AC239" s="202"/>
    </row>
    <row r="240" spans="2:29" ht="12.75">
      <c r="B240" s="185"/>
      <c r="C240" s="111"/>
      <c r="D240" s="581"/>
      <c r="E240" s="561"/>
      <c r="F240" s="548"/>
      <c r="G240" s="577"/>
      <c r="H240" s="577"/>
      <c r="I240" s="552"/>
      <c r="J240" s="548"/>
      <c r="K240" s="552"/>
      <c r="L240" s="548"/>
      <c r="M240" s="548"/>
      <c r="N240" s="548"/>
      <c r="O240" s="575"/>
      <c r="P240" s="548"/>
      <c r="Q240" s="581"/>
      <c r="R240" s="561"/>
      <c r="S240" s="548"/>
      <c r="T240" s="552"/>
      <c r="U240" s="548"/>
      <c r="V240" s="547"/>
      <c r="W240" s="817"/>
      <c r="X240" s="835"/>
      <c r="Y240" s="817"/>
      <c r="Z240" s="835"/>
      <c r="AA240" s="816"/>
      <c r="AB240" s="921"/>
      <c r="AC240" s="202"/>
    </row>
    <row r="241" spans="2:29" ht="12.75">
      <c r="B241" s="185"/>
      <c r="C241" s="111"/>
      <c r="D241" s="258" t="s">
        <v>69</v>
      </c>
      <c r="E241" s="583"/>
      <c r="F241" s="548"/>
      <c r="G241" s="577"/>
      <c r="H241" s="577"/>
      <c r="I241" s="552"/>
      <c r="J241" s="548"/>
      <c r="K241" s="552"/>
      <c r="L241" s="548"/>
      <c r="M241" s="548"/>
      <c r="N241" s="548"/>
      <c r="O241" s="575"/>
      <c r="P241" s="548"/>
      <c r="Q241" s="258" t="s">
        <v>69</v>
      </c>
      <c r="R241" s="583"/>
      <c r="S241" s="548"/>
      <c r="T241" s="552"/>
      <c r="U241" s="548"/>
      <c r="V241" s="555"/>
      <c r="W241" s="817"/>
      <c r="X241" s="835"/>
      <c r="Y241" s="817"/>
      <c r="Z241" s="835"/>
      <c r="AA241" s="816"/>
      <c r="AB241" s="921"/>
      <c r="AC241" s="202"/>
    </row>
    <row r="242" spans="2:29" ht="12.75">
      <c r="B242" s="441"/>
      <c r="C242" s="100"/>
      <c r="D242" s="612" t="s">
        <v>7</v>
      </c>
      <c r="E242" s="613">
        <v>0.27323986589454435</v>
      </c>
      <c r="F242" s="573"/>
      <c r="G242" s="585"/>
      <c r="H242" s="585"/>
      <c r="I242" s="544"/>
      <c r="J242" s="573"/>
      <c r="K242" s="614">
        <v>0.29016018306636154</v>
      </c>
      <c r="L242" s="548"/>
      <c r="M242" s="548"/>
      <c r="N242" s="548"/>
      <c r="O242" s="575"/>
      <c r="P242" s="548"/>
      <c r="Q242" s="612" t="s">
        <v>7</v>
      </c>
      <c r="R242" s="584">
        <f>+R232/R$202</f>
        <v>0.09276832460732984</v>
      </c>
      <c r="S242" s="548"/>
      <c r="T242" s="544"/>
      <c r="U242" s="548"/>
      <c r="V242" s="828">
        <f>+V232/V$202</f>
        <v>0.19189453125</v>
      </c>
      <c r="W242" s="817"/>
      <c r="X242" s="849">
        <f aca="true" t="shared" si="10" ref="X242:X247">+(R242-E242)*100</f>
        <v>-18.047154128721452</v>
      </c>
      <c r="Y242" s="817"/>
      <c r="Z242" s="849">
        <f aca="true" t="shared" si="11" ref="Z242:Z247">+(V242-K242)*100</f>
        <v>-9.826565181636154</v>
      </c>
      <c r="AA242" s="816"/>
      <c r="AB242" s="921"/>
      <c r="AC242" s="202"/>
    </row>
    <row r="243" spans="2:29" ht="12.75">
      <c r="B243" s="185"/>
      <c r="C243" s="111"/>
      <c r="D243" s="557" t="s">
        <v>8</v>
      </c>
      <c r="E243" s="588">
        <v>-0.07509881422924901</v>
      </c>
      <c r="F243" s="548"/>
      <c r="G243" s="577"/>
      <c r="H243" s="577"/>
      <c r="I243" s="552"/>
      <c r="J243" s="548"/>
      <c r="K243" s="685">
        <v>-0.015665796344647518</v>
      </c>
      <c r="L243" s="548"/>
      <c r="M243" s="548"/>
      <c r="N243" s="548"/>
      <c r="O243" s="575"/>
      <c r="P243" s="548"/>
      <c r="Q243" s="557" t="s">
        <v>8</v>
      </c>
      <c r="R243" s="588">
        <f>+R233/R$205</f>
        <v>-0.022779043280182234</v>
      </c>
      <c r="S243" s="548"/>
      <c r="T243" s="552"/>
      <c r="U243" s="548"/>
      <c r="V243" s="829">
        <f>+V233/V$205</f>
        <v>-0.022779043280182234</v>
      </c>
      <c r="W243" s="817"/>
      <c r="X243" s="839">
        <f t="shared" si="10"/>
        <v>5.231977094906677</v>
      </c>
      <c r="Y243" s="817"/>
      <c r="Z243" s="839">
        <f t="shared" si="11"/>
        <v>-0.7113246935534716</v>
      </c>
      <c r="AA243" s="816"/>
      <c r="AB243" s="921"/>
      <c r="AC243" s="202"/>
    </row>
    <row r="244" spans="2:29" ht="12.75">
      <c r="B244" s="185"/>
      <c r="C244" s="111"/>
      <c r="D244" s="557" t="s">
        <v>31</v>
      </c>
      <c r="E244" s="588">
        <v>0.05802047781569966</v>
      </c>
      <c r="F244" s="548"/>
      <c r="G244" s="577"/>
      <c r="H244" s="577"/>
      <c r="I244" s="552"/>
      <c r="J244" s="548"/>
      <c r="K244" s="685">
        <v>0.05714285714285714</v>
      </c>
      <c r="L244" s="548"/>
      <c r="M244" s="548"/>
      <c r="N244" s="548"/>
      <c r="O244" s="575"/>
      <c r="P244" s="548"/>
      <c r="Q244" s="557" t="s">
        <v>31</v>
      </c>
      <c r="R244" s="588">
        <f>+R234/R$206</f>
        <v>0.07642393655371305</v>
      </c>
      <c r="S244" s="548"/>
      <c r="T244" s="552"/>
      <c r="U244" s="548"/>
      <c r="V244" s="829">
        <f>+V234/V$206</f>
        <v>0.07642393655371305</v>
      </c>
      <c r="W244" s="817"/>
      <c r="X244" s="839">
        <f t="shared" si="10"/>
        <v>1.8403458738013385</v>
      </c>
      <c r="Y244" s="819"/>
      <c r="Z244" s="839">
        <f t="shared" si="11"/>
        <v>1.9281079410855904</v>
      </c>
      <c r="AA244" s="816"/>
      <c r="AB244" s="921"/>
      <c r="AC244" s="202"/>
    </row>
    <row r="245" spans="2:29" ht="12.75">
      <c r="B245" s="185"/>
      <c r="C245" s="111"/>
      <c r="D245" s="557" t="s">
        <v>89</v>
      </c>
      <c r="E245" s="588">
        <v>-0.36619718309859156</v>
      </c>
      <c r="F245" s="548"/>
      <c r="G245" s="577"/>
      <c r="H245" s="577"/>
      <c r="I245" s="552"/>
      <c r="J245" s="548"/>
      <c r="K245" s="685">
        <v>-0.36619718309859156</v>
      </c>
      <c r="L245" s="548"/>
      <c r="M245" s="548"/>
      <c r="N245" s="548"/>
      <c r="O245" s="575"/>
      <c r="P245" s="548"/>
      <c r="Q245" s="557" t="s">
        <v>89</v>
      </c>
      <c r="R245" s="588">
        <f>+R235/R$207</f>
        <v>-0.38823529411764707</v>
      </c>
      <c r="S245" s="548"/>
      <c r="T245" s="552"/>
      <c r="U245" s="548"/>
      <c r="V245" s="829">
        <f>+V235/V$207</f>
        <v>-0.3764705882352941</v>
      </c>
      <c r="W245" s="817"/>
      <c r="X245" s="839">
        <f t="shared" si="10"/>
        <v>-2.2038111019055506</v>
      </c>
      <c r="Y245" s="819"/>
      <c r="Z245" s="839">
        <f t="shared" si="11"/>
        <v>-1.0273405136702551</v>
      </c>
      <c r="AA245" s="816"/>
      <c r="AB245" s="921"/>
      <c r="AC245" s="202"/>
    </row>
    <row r="246" spans="2:29" ht="12.75">
      <c r="B246" s="185"/>
      <c r="C246" s="111"/>
      <c r="D246" s="557" t="s">
        <v>9</v>
      </c>
      <c r="E246" s="588">
        <v>-0.007042253521126761</v>
      </c>
      <c r="F246" s="548"/>
      <c r="G246" s="577"/>
      <c r="H246" s="577"/>
      <c r="I246" s="552"/>
      <c r="J246" s="548"/>
      <c r="K246" s="685">
        <v>0.028169014084507043</v>
      </c>
      <c r="L246" s="548"/>
      <c r="M246" s="548"/>
      <c r="N246" s="548"/>
      <c r="O246" s="575"/>
      <c r="P246" s="548"/>
      <c r="Q246" s="557" t="s">
        <v>9</v>
      </c>
      <c r="R246" s="588">
        <f>+R236/R$208</f>
        <v>-0.272</v>
      </c>
      <c r="S246" s="548"/>
      <c r="T246" s="552"/>
      <c r="U246" s="548"/>
      <c r="V246" s="829">
        <f>+V236/V$208</f>
        <v>-0.016</v>
      </c>
      <c r="W246" s="817"/>
      <c r="X246" s="839">
        <f t="shared" si="10"/>
        <v>-26.495774647887327</v>
      </c>
      <c r="Y246" s="819"/>
      <c r="Z246" s="839">
        <f t="shared" si="11"/>
        <v>-4.416901408450705</v>
      </c>
      <c r="AA246" s="816"/>
      <c r="AB246" s="921"/>
      <c r="AC246" s="202"/>
    </row>
    <row r="247" spans="2:29" ht="12.75">
      <c r="B247" s="185"/>
      <c r="C247" s="111"/>
      <c r="D247" s="272" t="s">
        <v>10</v>
      </c>
      <c r="E247" s="281">
        <v>0.22224941867580467</v>
      </c>
      <c r="F247" s="579"/>
      <c r="G247" s="602"/>
      <c r="H247" s="602"/>
      <c r="I247" s="562"/>
      <c r="J247" s="579"/>
      <c r="K247" s="686">
        <v>0.23348859429117402</v>
      </c>
      <c r="L247" s="548"/>
      <c r="M247" s="548"/>
      <c r="N247" s="548"/>
      <c r="O247" s="575"/>
      <c r="P247" s="548"/>
      <c r="Q247" s="272" t="s">
        <v>10</v>
      </c>
      <c r="R247" s="281">
        <f>+R239/R$211</f>
        <v>0.07744649263887171</v>
      </c>
      <c r="S247" s="548"/>
      <c r="T247" s="562"/>
      <c r="U247" s="548"/>
      <c r="V247" s="830">
        <f>+V239/V$211</f>
        <v>0.15662353666050524</v>
      </c>
      <c r="W247" s="817"/>
      <c r="X247" s="866">
        <f t="shared" si="10"/>
        <v>-14.480292603693295</v>
      </c>
      <c r="Y247" s="867"/>
      <c r="Z247" s="866">
        <f t="shared" si="11"/>
        <v>-7.6865057630668785</v>
      </c>
      <c r="AA247" s="816"/>
      <c r="AB247" s="921"/>
      <c r="AC247" s="202"/>
    </row>
    <row r="248" spans="2:29" ht="13.5" thickBot="1">
      <c r="B248" s="185"/>
      <c r="C248" s="111"/>
      <c r="D248" s="286"/>
      <c r="E248" s="385"/>
      <c r="F248" s="385"/>
      <c r="G248" s="287"/>
      <c r="H248" s="287"/>
      <c r="I248" s="385"/>
      <c r="J248" s="385"/>
      <c r="K248" s="385"/>
      <c r="L248" s="385"/>
      <c r="M248" s="385"/>
      <c r="N248" s="385"/>
      <c r="O248" s="386"/>
      <c r="P248" s="379"/>
      <c r="Q248" s="288"/>
      <c r="R248" s="387"/>
      <c r="S248" s="387"/>
      <c r="T248" s="387"/>
      <c r="U248" s="387"/>
      <c r="V248" s="289"/>
      <c r="W248" s="819"/>
      <c r="X248" s="840"/>
      <c r="Y248" s="819"/>
      <c r="Z248" s="840"/>
      <c r="AA248" s="816"/>
      <c r="AB248" s="921"/>
      <c r="AC248" s="202"/>
    </row>
    <row r="249" spans="2:29" ht="13.5" thickTop="1">
      <c r="B249" s="185"/>
      <c r="C249" s="111"/>
      <c r="D249" s="1551" t="s">
        <v>200</v>
      </c>
      <c r="E249" s="1551"/>
      <c r="F249" s="1551"/>
      <c r="G249" s="1551"/>
      <c r="H249" s="1551"/>
      <c r="I249" s="1551"/>
      <c r="J249" s="1551"/>
      <c r="K249" s="1551"/>
      <c r="L249" s="1551"/>
      <c r="M249" s="1551"/>
      <c r="N249" s="1551"/>
      <c r="O249" s="1551"/>
      <c r="P249" s="1551"/>
      <c r="Q249" s="1551"/>
      <c r="R249" s="1551"/>
      <c r="S249" s="1551"/>
      <c r="T249" s="1551"/>
      <c r="U249" s="1551"/>
      <c r="V249" s="1551"/>
      <c r="W249" s="1551"/>
      <c r="X249" s="1551"/>
      <c r="Y249" s="1551"/>
      <c r="Z249" s="1551"/>
      <c r="AA249" s="675"/>
      <c r="AB249" s="675"/>
      <c r="AC249" s="202"/>
    </row>
    <row r="250" spans="2:29" ht="12.75">
      <c r="B250" s="185"/>
      <c r="C250" s="111"/>
      <c r="D250" s="1551"/>
      <c r="E250" s="1551"/>
      <c r="F250" s="1551"/>
      <c r="G250" s="1551"/>
      <c r="H250" s="1551"/>
      <c r="I250" s="1551"/>
      <c r="J250" s="1551"/>
      <c r="K250" s="1551"/>
      <c r="L250" s="1551"/>
      <c r="M250" s="1551"/>
      <c r="N250" s="1551"/>
      <c r="O250" s="1551"/>
      <c r="P250" s="1551"/>
      <c r="Q250" s="1551"/>
      <c r="R250" s="1551"/>
      <c r="S250" s="1551"/>
      <c r="T250" s="1551"/>
      <c r="U250" s="1551"/>
      <c r="V250" s="1551"/>
      <c r="W250" s="1551"/>
      <c r="X250" s="1551"/>
      <c r="Y250" s="1551"/>
      <c r="Z250" s="1551"/>
      <c r="AA250" s="675"/>
      <c r="AB250" s="675"/>
      <c r="AC250" s="202"/>
    </row>
    <row r="251" spans="2:29" ht="30.75" customHeight="1">
      <c r="B251" s="185"/>
      <c r="C251" s="111"/>
      <c r="D251" s="862" t="s">
        <v>328</v>
      </c>
      <c r="E251" s="863"/>
      <c r="F251" s="863"/>
      <c r="G251" s="390" t="s">
        <v>5</v>
      </c>
      <c r="H251" s="391" t="s">
        <v>228</v>
      </c>
      <c r="I251" s="675"/>
      <c r="J251" s="1547" t="s">
        <v>326</v>
      </c>
      <c r="K251" s="1548"/>
      <c r="L251" s="1548"/>
      <c r="M251" s="1548"/>
      <c r="N251" s="925"/>
      <c r="O251" s="903" t="s">
        <v>5</v>
      </c>
      <c r="P251" s="903"/>
      <c r="Q251" s="904" t="s">
        <v>228</v>
      </c>
      <c r="R251" s="675"/>
      <c r="S251" s="1547" t="s">
        <v>330</v>
      </c>
      <c r="T251" s="1548"/>
      <c r="U251" s="1548"/>
      <c r="V251" s="1548"/>
      <c r="W251" s="925"/>
      <c r="X251" s="903" t="s">
        <v>5</v>
      </c>
      <c r="Y251" s="903"/>
      <c r="Z251" s="904" t="s">
        <v>228</v>
      </c>
      <c r="AA251" s="675"/>
      <c r="AB251" s="675"/>
      <c r="AC251" s="202"/>
    </row>
    <row r="252" spans="2:29" s="97" customFormat="1" ht="12.75">
      <c r="B252" s="441"/>
      <c r="C252" s="100"/>
      <c r="D252" s="620" t="s">
        <v>329</v>
      </c>
      <c r="E252" s="100"/>
      <c r="F252" s="100"/>
      <c r="G252" s="100"/>
      <c r="H252" s="892">
        <v>56</v>
      </c>
      <c r="I252" s="675"/>
      <c r="J252" s="667" t="s">
        <v>336</v>
      </c>
      <c r="K252" s="389"/>
      <c r="L252" s="389"/>
      <c r="M252" s="392"/>
      <c r="N252" s="392"/>
      <c r="O252" s="605">
        <v>15</v>
      </c>
      <c r="P252" s="389"/>
      <c r="Q252" s="860">
        <v>74</v>
      </c>
      <c r="R252" s="675"/>
      <c r="S252" s="667" t="s">
        <v>336</v>
      </c>
      <c r="T252" s="389"/>
      <c r="U252" s="389"/>
      <c r="V252" s="392"/>
      <c r="W252" s="392"/>
      <c r="X252" s="605">
        <v>15</v>
      </c>
      <c r="Y252" s="389"/>
      <c r="Z252" s="860">
        <v>74</v>
      </c>
      <c r="AA252" s="675"/>
      <c r="AB252" s="675"/>
      <c r="AC252" s="442"/>
    </row>
    <row r="253" spans="2:29" s="97" customFormat="1" ht="12.75">
      <c r="B253" s="441"/>
      <c r="C253" s="100"/>
      <c r="D253" s="620" t="s">
        <v>322</v>
      </c>
      <c r="E253" s="100"/>
      <c r="F253" s="100"/>
      <c r="G253" s="100"/>
      <c r="H253" s="892">
        <v>-24</v>
      </c>
      <c r="I253" s="675"/>
      <c r="J253" s="667" t="s">
        <v>191</v>
      </c>
      <c r="K253" s="389"/>
      <c r="L253" s="389"/>
      <c r="M253" s="392"/>
      <c r="N253" s="392"/>
      <c r="O253" s="605">
        <v>3</v>
      </c>
      <c r="P253" s="389"/>
      <c r="Q253" s="926"/>
      <c r="R253" s="675"/>
      <c r="S253" s="667" t="s">
        <v>191</v>
      </c>
      <c r="T253" s="389"/>
      <c r="U253" s="389"/>
      <c r="V253" s="392"/>
      <c r="W253" s="392"/>
      <c r="X253" s="605">
        <v>3</v>
      </c>
      <c r="Y253" s="389"/>
      <c r="Z253" s="926"/>
      <c r="AA253" s="675"/>
      <c r="AB253" s="675"/>
      <c r="AC253" s="442"/>
    </row>
    <row r="254" spans="2:29" ht="12.75">
      <c r="B254" s="185"/>
      <c r="C254" s="111"/>
      <c r="D254" s="291" t="s">
        <v>139</v>
      </c>
      <c r="E254" s="893"/>
      <c r="F254" s="592"/>
      <c r="G254" s="592"/>
      <c r="H254" s="894">
        <v>32</v>
      </c>
      <c r="I254" s="675"/>
      <c r="J254" s="667" t="s">
        <v>300</v>
      </c>
      <c r="K254" s="389"/>
      <c r="L254" s="389"/>
      <c r="M254" s="392"/>
      <c r="N254" s="392"/>
      <c r="O254" s="605">
        <v>61</v>
      </c>
      <c r="P254" s="389"/>
      <c r="Q254" s="926"/>
      <c r="R254" s="675"/>
      <c r="S254" s="667" t="s">
        <v>300</v>
      </c>
      <c r="T254" s="389"/>
      <c r="U254" s="389"/>
      <c r="V254" s="392"/>
      <c r="W254" s="392"/>
      <c r="X254" s="605">
        <v>61</v>
      </c>
      <c r="Y254" s="109"/>
      <c r="Z254" s="926"/>
      <c r="AA254" s="675"/>
      <c r="AB254" s="675"/>
      <c r="AC254" s="202"/>
    </row>
    <row r="255" spans="2:29" ht="12.75">
      <c r="B255" s="185"/>
      <c r="C255" s="111"/>
      <c r="D255" s="121"/>
      <c r="E255" s="121"/>
      <c r="F255" s="675"/>
      <c r="G255" s="675"/>
      <c r="H255" s="675"/>
      <c r="I255" s="675"/>
      <c r="J255" s="667" t="s">
        <v>301</v>
      </c>
      <c r="K255" s="109"/>
      <c r="L255" s="109"/>
      <c r="M255" s="109"/>
      <c r="N255" s="109"/>
      <c r="O255" s="687">
        <v>24</v>
      </c>
      <c r="P255" s="389"/>
      <c r="Q255" s="926"/>
      <c r="R255" s="675"/>
      <c r="S255" s="667" t="s">
        <v>301</v>
      </c>
      <c r="T255" s="109"/>
      <c r="U255" s="109"/>
      <c r="V255" s="109"/>
      <c r="W255" s="109"/>
      <c r="X255" s="687">
        <v>24</v>
      </c>
      <c r="Y255" s="109"/>
      <c r="Z255" s="926"/>
      <c r="AA255" s="675"/>
      <c r="AB255" s="675"/>
      <c r="AC255" s="202"/>
    </row>
    <row r="256" spans="2:29" ht="12.75">
      <c r="B256" s="185"/>
      <c r="C256" s="111"/>
      <c r="D256" s="121"/>
      <c r="E256" s="121"/>
      <c r="F256" s="675"/>
      <c r="G256" s="675"/>
      <c r="H256" s="675"/>
      <c r="I256" s="675"/>
      <c r="J256" s="617" t="s">
        <v>298</v>
      </c>
      <c r="K256" s="100"/>
      <c r="L256" s="100"/>
      <c r="M256" s="100"/>
      <c r="N256" s="100"/>
      <c r="O256" s="100"/>
      <c r="P256" s="100"/>
      <c r="Q256" s="895">
        <f>448-33</f>
        <v>415</v>
      </c>
      <c r="R256" s="675"/>
      <c r="S256" s="617" t="s">
        <v>298</v>
      </c>
      <c r="T256" s="100"/>
      <c r="U256" s="100"/>
      <c r="V256" s="100"/>
      <c r="W256" s="100"/>
      <c r="X256" s="100"/>
      <c r="Y256" s="100"/>
      <c r="Z256" s="895">
        <v>415</v>
      </c>
      <c r="AA256" s="675"/>
      <c r="AB256" s="675"/>
      <c r="AC256" s="202"/>
    </row>
    <row r="257" spans="2:29" ht="12.75">
      <c r="B257" s="185"/>
      <c r="C257" s="111"/>
      <c r="D257" s="121"/>
      <c r="E257" s="121"/>
      <c r="F257" s="675"/>
      <c r="G257" s="675"/>
      <c r="H257" s="675"/>
      <c r="I257" s="675"/>
      <c r="J257" s="617" t="s">
        <v>322</v>
      </c>
      <c r="K257" s="100"/>
      <c r="L257" s="100"/>
      <c r="M257" s="100"/>
      <c r="N257" s="100"/>
      <c r="O257" s="100"/>
      <c r="P257" s="100"/>
      <c r="Q257" s="895">
        <v>92</v>
      </c>
      <c r="R257" s="675"/>
      <c r="S257" s="617" t="s">
        <v>322</v>
      </c>
      <c r="T257" s="100"/>
      <c r="U257" s="100"/>
      <c r="V257" s="100"/>
      <c r="W257" s="100"/>
      <c r="X257" s="100"/>
      <c r="Y257" s="100"/>
      <c r="Z257" s="895">
        <v>92</v>
      </c>
      <c r="AA257" s="100"/>
      <c r="AB257" s="100"/>
      <c r="AC257" s="202"/>
    </row>
    <row r="258" spans="2:29" ht="12.75">
      <c r="B258" s="185"/>
      <c r="C258" s="111"/>
      <c r="D258" s="927"/>
      <c r="E258" s="389"/>
      <c r="F258" s="389"/>
      <c r="G258" s="392"/>
      <c r="H258" s="392"/>
      <c r="I258" s="607"/>
      <c r="J258" s="858" t="s">
        <v>323</v>
      </c>
      <c r="K258" s="389"/>
      <c r="L258" s="389"/>
      <c r="M258" s="389"/>
      <c r="N258" s="389"/>
      <c r="O258" s="389"/>
      <c r="P258" s="389"/>
      <c r="Q258" s="895">
        <v>17</v>
      </c>
      <c r="R258" s="675"/>
      <c r="S258" s="858" t="s">
        <v>323</v>
      </c>
      <c r="T258" s="389"/>
      <c r="U258" s="100"/>
      <c r="V258" s="100"/>
      <c r="W258" s="100"/>
      <c r="X258" s="100"/>
      <c r="Y258" s="100"/>
      <c r="Z258" s="895">
        <v>23</v>
      </c>
      <c r="AA258" s="100"/>
      <c r="AB258" s="100"/>
      <c r="AC258" s="202"/>
    </row>
    <row r="259" spans="2:29" ht="12.75">
      <c r="B259" s="185"/>
      <c r="C259" s="111"/>
      <c r="D259" s="927"/>
      <c r="E259" s="389"/>
      <c r="F259" s="389"/>
      <c r="G259" s="392"/>
      <c r="H259" s="392"/>
      <c r="I259" s="607"/>
      <c r="J259" s="617" t="s">
        <v>325</v>
      </c>
      <c r="K259" s="100"/>
      <c r="L259" s="100"/>
      <c r="M259" s="100"/>
      <c r="N259" s="100"/>
      <c r="O259" s="100"/>
      <c r="P259" s="100"/>
      <c r="Q259" s="895">
        <v>6</v>
      </c>
      <c r="R259" s="675"/>
      <c r="S259" s="617" t="s">
        <v>325</v>
      </c>
      <c r="T259" s="100"/>
      <c r="U259" s="111"/>
      <c r="V259" s="111"/>
      <c r="W259" s="111"/>
      <c r="X259" s="111"/>
      <c r="Y259" s="111"/>
      <c r="Z259" s="928">
        <v>6</v>
      </c>
      <c r="AA259" s="100"/>
      <c r="AB259" s="100"/>
      <c r="AC259" s="202"/>
    </row>
    <row r="260" spans="2:29" s="95" customFormat="1" ht="12.75">
      <c r="B260" s="185"/>
      <c r="C260" s="111"/>
      <c r="D260" s="929"/>
      <c r="E260" s="379"/>
      <c r="F260" s="379"/>
      <c r="G260" s="401"/>
      <c r="H260" s="401"/>
      <c r="I260" s="379"/>
      <c r="J260" s="667" t="s">
        <v>192</v>
      </c>
      <c r="K260" s="100"/>
      <c r="L260" s="389"/>
      <c r="M260" s="392"/>
      <c r="N260" s="392"/>
      <c r="O260" s="605">
        <v>10</v>
      </c>
      <c r="P260" s="389"/>
      <c r="Q260" s="860">
        <v>36</v>
      </c>
      <c r="R260" s="675"/>
      <c r="S260" s="667" t="s">
        <v>193</v>
      </c>
      <c r="T260" s="389"/>
      <c r="U260" s="389"/>
      <c r="V260" s="392"/>
      <c r="W260" s="392"/>
      <c r="X260" s="605">
        <v>-12</v>
      </c>
      <c r="Y260" s="389"/>
      <c r="Z260" s="926"/>
      <c r="AA260" s="100"/>
      <c r="AB260" s="100"/>
      <c r="AC260" s="202"/>
    </row>
    <row r="261" spans="2:29" ht="12.75">
      <c r="B261" s="121"/>
      <c r="C261" s="121"/>
      <c r="D261" s="121"/>
      <c r="E261" s="121"/>
      <c r="F261" s="675"/>
      <c r="G261" s="675"/>
      <c r="H261" s="675"/>
      <c r="I261" s="675"/>
      <c r="J261" s="688" t="s">
        <v>139</v>
      </c>
      <c r="K261" s="592"/>
      <c r="L261" s="394"/>
      <c r="M261" s="395"/>
      <c r="N261" s="395"/>
      <c r="O261" s="606">
        <v>113</v>
      </c>
      <c r="P261" s="394"/>
      <c r="Q261" s="861">
        <f>796-156</f>
        <v>640</v>
      </c>
      <c r="R261" s="379"/>
      <c r="S261" s="667" t="s">
        <v>313</v>
      </c>
      <c r="T261" s="109"/>
      <c r="U261" s="109"/>
      <c r="V261" s="109"/>
      <c r="W261" s="109"/>
      <c r="X261" s="687">
        <v>16</v>
      </c>
      <c r="Y261" s="389"/>
      <c r="Z261" s="926"/>
      <c r="AA261" s="675"/>
      <c r="AB261" s="675"/>
      <c r="AC261" s="202"/>
    </row>
    <row r="262" spans="2:29" ht="12.75">
      <c r="B262" s="121"/>
      <c r="C262" s="121"/>
      <c r="D262" s="121"/>
      <c r="E262" s="121"/>
      <c r="F262" s="675"/>
      <c r="G262" s="675"/>
      <c r="H262" s="675"/>
      <c r="I262" s="675"/>
      <c r="J262" s="675"/>
      <c r="K262" s="675"/>
      <c r="L262" s="675"/>
      <c r="M262" s="675"/>
      <c r="N262" s="675"/>
      <c r="O262" s="675"/>
      <c r="P262" s="675"/>
      <c r="Q262" s="675"/>
      <c r="R262" s="675"/>
      <c r="S262" s="667" t="s">
        <v>302</v>
      </c>
      <c r="T262" s="389"/>
      <c r="U262" s="389"/>
      <c r="V262" s="392"/>
      <c r="W262" s="392"/>
      <c r="X262" s="605">
        <v>8</v>
      </c>
      <c r="Y262" s="109"/>
      <c r="Z262" s="926"/>
      <c r="AA262" s="675"/>
      <c r="AB262" s="675"/>
      <c r="AC262" s="202"/>
    </row>
    <row r="263" spans="2:29" ht="12.75">
      <c r="B263" s="121"/>
      <c r="C263" s="121"/>
      <c r="D263" s="121"/>
      <c r="E263" s="121"/>
      <c r="F263" s="675"/>
      <c r="G263" s="675"/>
      <c r="H263" s="675"/>
      <c r="I263" s="675"/>
      <c r="J263" s="675"/>
      <c r="K263" s="675"/>
      <c r="L263" s="675"/>
      <c r="M263" s="675"/>
      <c r="N263" s="675"/>
      <c r="O263" s="675"/>
      <c r="P263" s="675"/>
      <c r="Q263" s="675"/>
      <c r="R263" s="675"/>
      <c r="S263" s="667" t="s">
        <v>192</v>
      </c>
      <c r="T263" s="389"/>
      <c r="U263" s="389"/>
      <c r="V263" s="392"/>
      <c r="W263" s="392"/>
      <c r="X263" s="605">
        <v>10</v>
      </c>
      <c r="Y263" s="389"/>
      <c r="Z263" s="860">
        <v>35</v>
      </c>
      <c r="AA263" s="675"/>
      <c r="AB263" s="675"/>
      <c r="AC263" s="202"/>
    </row>
    <row r="264" spans="2:29" ht="12.75">
      <c r="B264" s="121"/>
      <c r="C264" s="121"/>
      <c r="D264" s="121"/>
      <c r="E264" s="121"/>
      <c r="F264" s="675"/>
      <c r="G264" s="675"/>
      <c r="H264" s="675"/>
      <c r="I264" s="675"/>
      <c r="J264" s="675"/>
      <c r="K264" s="675"/>
      <c r="L264" s="675"/>
      <c r="M264" s="675"/>
      <c r="N264" s="675"/>
      <c r="O264" s="675"/>
      <c r="P264" s="675"/>
      <c r="Q264" s="675"/>
      <c r="R264" s="675"/>
      <c r="S264" s="688" t="s">
        <v>139</v>
      </c>
      <c r="T264" s="394"/>
      <c r="U264" s="394"/>
      <c r="V264" s="395"/>
      <c r="W264" s="395"/>
      <c r="X264" s="606">
        <v>125</v>
      </c>
      <c r="Y264" s="394"/>
      <c r="Z264" s="861">
        <f>787-142</f>
        <v>645</v>
      </c>
      <c r="AA264" s="675"/>
      <c r="AB264" s="675"/>
      <c r="AC264" s="202"/>
    </row>
    <row r="265" spans="2:29" ht="12.75">
      <c r="B265" s="112"/>
      <c r="C265" s="112"/>
      <c r="D265" s="112"/>
      <c r="E265" s="112"/>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445"/>
    </row>
  </sheetData>
  <sheetProtection formatCells="0" formatColumns="0" formatRows="0" insertColumns="0" insertRows="0" insertHyperlinks="0" deleteColumns="0" deleteRows="0" sort="0" autoFilter="0" pivotTables="0"/>
  <mergeCells count="55">
    <mergeCell ref="D133:E133"/>
    <mergeCell ref="D118:Z119"/>
    <mergeCell ref="D120:H120"/>
    <mergeCell ref="D131:O132"/>
    <mergeCell ref="Q131:V131"/>
    <mergeCell ref="Q132:R132"/>
    <mergeCell ref="D70:E70"/>
    <mergeCell ref="Q70:R70"/>
    <mergeCell ref="D66:O67"/>
    <mergeCell ref="D68:E68"/>
    <mergeCell ref="G68:I68"/>
    <mergeCell ref="G69:G70"/>
    <mergeCell ref="H69:H70"/>
    <mergeCell ref="D55:Z56"/>
    <mergeCell ref="Q66:V66"/>
    <mergeCell ref="Q67:R67"/>
    <mergeCell ref="Q68:R68"/>
    <mergeCell ref="G5:I5"/>
    <mergeCell ref="Q4:R4"/>
    <mergeCell ref="Q5:R5"/>
    <mergeCell ref="D3:O4"/>
    <mergeCell ref="D185:H185"/>
    <mergeCell ref="Q3:V3"/>
    <mergeCell ref="G133:I133"/>
    <mergeCell ref="Q133:R133"/>
    <mergeCell ref="G134:G135"/>
    <mergeCell ref="H134:H135"/>
    <mergeCell ref="I134:I135"/>
    <mergeCell ref="D7:E7"/>
    <mergeCell ref="Q7:R7"/>
    <mergeCell ref="I6:I7"/>
    <mergeCell ref="B1:AC1"/>
    <mergeCell ref="D135:E135"/>
    <mergeCell ref="Q135:R135"/>
    <mergeCell ref="D183:Z184"/>
    <mergeCell ref="H6:H7"/>
    <mergeCell ref="G6:G7"/>
    <mergeCell ref="I69:I70"/>
    <mergeCell ref="D57:H57"/>
    <mergeCell ref="B65:AC65"/>
    <mergeCell ref="D5:E5"/>
    <mergeCell ref="D197:O198"/>
    <mergeCell ref="Q197:V197"/>
    <mergeCell ref="Q198:R198"/>
    <mergeCell ref="D199:E199"/>
    <mergeCell ref="G199:I199"/>
    <mergeCell ref="Q199:R199"/>
    <mergeCell ref="J251:M251"/>
    <mergeCell ref="S251:V251"/>
    <mergeCell ref="Q201:R201"/>
    <mergeCell ref="D249:Z250"/>
    <mergeCell ref="G200:G201"/>
    <mergeCell ref="H200:H201"/>
    <mergeCell ref="I200:I201"/>
    <mergeCell ref="D201:E201"/>
  </mergeCells>
  <hyperlinks>
    <hyperlink ref="AE14" location="'Domestic Business Results'!A1" display="Domestic Business Results"/>
    <hyperlink ref="AE15" location="'Domestic Wireline Results'!A1" display="Domestic Wireline Results"/>
    <hyperlink ref="AE16" location="'Domestic Mobile Results'!A1" display="Domestic Mobile Results"/>
    <hyperlink ref="AE17" location="'TIM Brasil Results'!A1" display="TIM Brasil Results"/>
    <hyperlink ref="AE18" location="'European BroadBand'!A1" display="European BroadBand"/>
    <hyperlink ref="AE20" location="'Main Group''s Subsidiries'!A1" display="Main Group's Subsidiaries"/>
    <hyperlink ref="AE9" location="'Key fin data by BU YTD'!A1" display="Key Financial data by BU YTD"/>
    <hyperlink ref="AE21" location="'Analyst Tools'!A1" display="Analyst Tools"/>
    <hyperlink ref="AE19" location="'Historic Quartely Proforma'!A1" display="Historic Quarter Proforma"/>
    <hyperlink ref="AE8" location="'P&amp;L Group by quarter'!A1" display="P&amp;L Group by quarter"/>
    <hyperlink ref="AE10" location="'Key fin. data by BU by quarter'!A1" display="Key Financial data by quarter"/>
    <hyperlink ref="AE7" location="'P&amp;L Group YTD'!A1" display="P&amp;L Group YTD"/>
    <hyperlink ref="AE11" location="'Rep&amp;org. fig. YTD'!A1" display="Reported &amp; Organic Figures YTD "/>
    <hyperlink ref="AE12" location="'Balance Sheet'!A1" display="Balance Sheet"/>
    <hyperlink ref="AE13" location="'Cashflow Statement'!A1" display="Cashflow Statement"/>
  </hyperlinks>
  <printOptions horizontalCentered="1" verticalCentered="1"/>
  <pageMargins left="0" right="0" top="0" bottom="0" header="0.5118110236220472" footer="0.31496062992125984"/>
  <pageSetup fitToHeight="2" horizontalDpi="600" verticalDpi="600" orientation="landscape" paperSize="9" scale="52" r:id="rId3"/>
  <rowBreaks count="3" manualBreakCount="3">
    <brk id="64" min="1" max="28" man="1"/>
    <brk id="129" min="1" max="28" man="1"/>
    <brk id="195" min="1" max="28" man="1"/>
  </rowBreaks>
  <drawing r:id="rId1"/>
  <legacyDrawingHF r:id="rId2"/>
</worksheet>
</file>

<file path=xl/worksheets/sheet26.xml><?xml version="1.0" encoding="utf-8"?>
<worksheet xmlns="http://schemas.openxmlformats.org/spreadsheetml/2006/main" xmlns:r="http://schemas.openxmlformats.org/officeDocument/2006/relationships">
  <sheetPr codeName="Foglio10">
    <tabColor indexed="10"/>
  </sheetPr>
  <dimension ref="B2:O323"/>
  <sheetViews>
    <sheetView showGridLines="0" zoomScale="80" zoomScaleNormal="80" zoomScaleSheetLayoutView="100" workbookViewId="0" topLeftCell="A1">
      <selection activeCell="F36" sqref="F36"/>
    </sheetView>
  </sheetViews>
  <sheetFormatPr defaultColWidth="9.140625" defaultRowHeight="12.75"/>
  <cols>
    <col min="1" max="1" width="0.9921875" style="1254" customWidth="1"/>
    <col min="2" max="2" width="2.00390625" style="1254" customWidth="1"/>
    <col min="3" max="3" width="28.7109375" style="1254" customWidth="1"/>
    <col min="4" max="4" width="15.7109375" style="1254" customWidth="1"/>
    <col min="5" max="5" width="1.57421875" style="1332" customWidth="1"/>
    <col min="6" max="6" width="28.7109375" style="1332" customWidth="1"/>
    <col min="7" max="7" width="15.7109375" style="1332" customWidth="1"/>
    <col min="8" max="8" width="1.57421875" style="1332" customWidth="1"/>
    <col min="9" max="9" width="26.8515625" style="1332" bestFit="1" customWidth="1"/>
    <col min="10" max="10" width="28.00390625" style="1332" customWidth="1"/>
    <col min="11" max="11" width="2.28125" style="1254" customWidth="1"/>
    <col min="12" max="12" width="3.140625" style="1254" customWidth="1"/>
    <col min="13" max="13" width="18.00390625" style="1254" bestFit="1" customWidth="1"/>
    <col min="14" max="14" width="1.421875" style="1254" customWidth="1"/>
    <col min="15" max="16384" width="9.140625" style="1254" customWidth="1"/>
  </cols>
  <sheetData>
    <row r="2" spans="2:13" ht="28.5" customHeight="1">
      <c r="B2" s="1554" t="s">
        <v>383</v>
      </c>
      <c r="C2" s="1555"/>
      <c r="D2" s="1555"/>
      <c r="E2" s="1555"/>
      <c r="F2" s="1555"/>
      <c r="G2" s="1555"/>
      <c r="H2" s="1555"/>
      <c r="I2" s="1555"/>
      <c r="J2" s="1555"/>
      <c r="K2" s="1556"/>
      <c r="L2" s="1252"/>
      <c r="M2" s="1253" t="s">
        <v>384</v>
      </c>
    </row>
    <row r="3" spans="2:13" ht="15" customHeight="1">
      <c r="B3" s="1255"/>
      <c r="C3" s="1256"/>
      <c r="D3" s="1256"/>
      <c r="E3" s="1256"/>
      <c r="F3" s="1256"/>
      <c r="G3" s="1256"/>
      <c r="H3" s="1256"/>
      <c r="I3" s="1256"/>
      <c r="J3" s="1256"/>
      <c r="K3" s="1257"/>
      <c r="L3" s="1252"/>
      <c r="M3" s="1258" t="s">
        <v>56</v>
      </c>
    </row>
    <row r="4" spans="2:13" s="1261" customFormat="1" ht="18">
      <c r="B4" s="1259"/>
      <c r="C4" s="1559" t="s">
        <v>385</v>
      </c>
      <c r="D4" s="1559"/>
      <c r="E4" s="1559"/>
      <c r="F4" s="1559"/>
      <c r="G4" s="1559"/>
      <c r="H4" s="1559"/>
      <c r="I4" s="1559"/>
      <c r="J4" s="1559"/>
      <c r="K4" s="1260"/>
      <c r="M4" s="1262" t="s">
        <v>386</v>
      </c>
    </row>
    <row r="5" spans="2:13" s="1267" customFormat="1" ht="10.5" customHeight="1">
      <c r="B5" s="1263"/>
      <c r="C5" s="1557" t="s">
        <v>387</v>
      </c>
      <c r="D5" s="1557"/>
      <c r="E5" s="1264"/>
      <c r="F5" s="1264"/>
      <c r="G5" s="1265"/>
      <c r="H5" s="1264"/>
      <c r="I5" s="1557" t="s">
        <v>388</v>
      </c>
      <c r="J5" s="1557"/>
      <c r="K5" s="1266"/>
      <c r="M5" s="1262" t="s">
        <v>389</v>
      </c>
    </row>
    <row r="6" spans="2:13" ht="16.5" customHeight="1">
      <c r="B6" s="1255"/>
      <c r="C6" s="1560" t="s">
        <v>390</v>
      </c>
      <c r="D6" s="1561"/>
      <c r="E6" s="1268"/>
      <c r="F6" s="1560" t="s">
        <v>391</v>
      </c>
      <c r="G6" s="1561"/>
      <c r="H6" s="1268"/>
      <c r="I6" s="1560" t="s">
        <v>392</v>
      </c>
      <c r="J6" s="1561"/>
      <c r="K6" s="1269"/>
      <c r="M6" s="1262" t="s">
        <v>310</v>
      </c>
    </row>
    <row r="7" spans="2:13" s="1271" customFormat="1" ht="16.5" customHeight="1">
      <c r="B7" s="1270"/>
      <c r="C7" s="1271" t="s">
        <v>11</v>
      </c>
      <c r="D7" s="1272" t="s">
        <v>393</v>
      </c>
      <c r="E7" s="1273"/>
      <c r="F7" s="1273"/>
      <c r="G7" s="1272" t="s">
        <v>394</v>
      </c>
      <c r="H7" s="1273"/>
      <c r="I7" s="1273"/>
      <c r="J7" s="1272" t="s">
        <v>395</v>
      </c>
      <c r="K7" s="1274"/>
      <c r="M7" s="1262" t="s">
        <v>311</v>
      </c>
    </row>
    <row r="8" spans="2:13" ht="15" customHeight="1">
      <c r="B8" s="1255"/>
      <c r="C8" s="1275" t="s">
        <v>0</v>
      </c>
      <c r="D8" s="1276"/>
      <c r="E8" s="1277"/>
      <c r="F8" s="1275" t="s">
        <v>0</v>
      </c>
      <c r="G8" s="1276"/>
      <c r="H8" s="1277"/>
      <c r="I8" s="1275" t="s">
        <v>0</v>
      </c>
      <c r="J8" s="1276"/>
      <c r="K8" s="1269"/>
      <c r="M8" s="1262" t="s">
        <v>396</v>
      </c>
    </row>
    <row r="9" spans="2:13" s="1284" customFormat="1" ht="15" customHeight="1">
      <c r="B9" s="1278"/>
      <c r="C9" s="1279" t="s">
        <v>397</v>
      </c>
      <c r="D9" s="1280">
        <v>4268</v>
      </c>
      <c r="E9" s="1281"/>
      <c r="F9" s="1279" t="s">
        <v>398</v>
      </c>
      <c r="G9" s="1280">
        <v>18</v>
      </c>
      <c r="H9" s="1281"/>
      <c r="I9" s="1282" t="s">
        <v>397</v>
      </c>
      <c r="J9" s="1280">
        <f>+D9+G9</f>
        <v>4286</v>
      </c>
      <c r="K9" s="1283"/>
      <c r="M9" s="1262" t="s">
        <v>399</v>
      </c>
    </row>
    <row r="10" spans="2:13" s="1284" customFormat="1" ht="15" customHeight="1">
      <c r="B10" s="1278"/>
      <c r="C10" s="1279" t="s">
        <v>400</v>
      </c>
      <c r="D10" s="1280">
        <v>2370</v>
      </c>
      <c r="E10" s="1281"/>
      <c r="F10" s="1279" t="s">
        <v>400</v>
      </c>
      <c r="G10" s="1280">
        <v>0</v>
      </c>
      <c r="H10" s="1281"/>
      <c r="I10" s="1282" t="s">
        <v>400</v>
      </c>
      <c r="J10" s="1280">
        <f>+D10+G10</f>
        <v>2370</v>
      </c>
      <c r="K10" s="1283"/>
      <c r="M10" s="1262" t="s">
        <v>401</v>
      </c>
    </row>
    <row r="11" spans="2:13" s="1284" customFormat="1" ht="15" customHeight="1">
      <c r="B11" s="1278"/>
      <c r="C11" s="1279"/>
      <c r="D11" s="1280"/>
      <c r="E11" s="1281"/>
      <c r="F11" s="1285" t="s">
        <v>402</v>
      </c>
      <c r="G11" s="1280">
        <v>-359</v>
      </c>
      <c r="H11" s="1281"/>
      <c r="I11" s="1286" t="s">
        <v>403</v>
      </c>
      <c r="J11" s="1280">
        <f>+D11+G11</f>
        <v>-359</v>
      </c>
      <c r="K11" s="1283"/>
      <c r="M11" s="1262" t="s">
        <v>31</v>
      </c>
    </row>
    <row r="12" spans="2:13" s="1284" customFormat="1" ht="15" customHeight="1">
      <c r="B12" s="1278"/>
      <c r="C12" s="1279"/>
      <c r="D12" s="1280"/>
      <c r="E12" s="1281"/>
      <c r="F12" s="1279"/>
      <c r="G12" s="1280"/>
      <c r="H12" s="1281"/>
      <c r="I12" s="1287" t="s">
        <v>7</v>
      </c>
      <c r="J12" s="1288">
        <f>+J9+J10+J11</f>
        <v>6297</v>
      </c>
      <c r="K12" s="1283"/>
      <c r="M12" s="1262" t="s">
        <v>8</v>
      </c>
    </row>
    <row r="13" spans="2:13" s="1284" customFormat="1" ht="15" customHeight="1">
      <c r="B13" s="1278"/>
      <c r="C13" s="1279" t="s">
        <v>404</v>
      </c>
      <c r="D13" s="1280">
        <v>204</v>
      </c>
      <c r="E13" s="1281"/>
      <c r="F13" s="1285" t="s">
        <v>404</v>
      </c>
      <c r="G13" s="1280">
        <v>0</v>
      </c>
      <c r="H13" s="1281"/>
      <c r="I13" s="1285" t="s">
        <v>404</v>
      </c>
      <c r="J13" s="1280">
        <f aca="true" t="shared" si="0" ref="J13:J19">+D13+G13</f>
        <v>204</v>
      </c>
      <c r="K13" s="1283"/>
      <c r="M13" s="1262" t="s">
        <v>405</v>
      </c>
    </row>
    <row r="14" spans="2:13" s="1284" customFormat="1" ht="15" customHeight="1">
      <c r="B14" s="1278"/>
      <c r="C14" s="1279" t="s">
        <v>406</v>
      </c>
      <c r="D14" s="1280">
        <v>837</v>
      </c>
      <c r="E14" s="1281"/>
      <c r="F14" s="1285" t="s">
        <v>406</v>
      </c>
      <c r="G14" s="1280">
        <v>0</v>
      </c>
      <c r="H14" s="1281"/>
      <c r="I14" s="1285" t="s">
        <v>406</v>
      </c>
      <c r="J14" s="1280">
        <f t="shared" si="0"/>
        <v>837</v>
      </c>
      <c r="K14" s="1289"/>
      <c r="M14" s="1262" t="s">
        <v>407</v>
      </c>
    </row>
    <row r="15" spans="2:13" s="1284" customFormat="1" ht="15" customHeight="1">
      <c r="B15" s="1278"/>
      <c r="C15" s="1279" t="s">
        <v>408</v>
      </c>
      <c r="D15" s="1280">
        <v>44</v>
      </c>
      <c r="E15" s="1281"/>
      <c r="F15" s="1285" t="s">
        <v>408</v>
      </c>
      <c r="G15" s="1280">
        <v>0</v>
      </c>
      <c r="H15" s="1281"/>
      <c r="I15" s="1285" t="s">
        <v>408</v>
      </c>
      <c r="J15" s="1280">
        <f t="shared" si="0"/>
        <v>44</v>
      </c>
      <c r="K15" s="1289"/>
      <c r="M15" s="1262" t="s">
        <v>108</v>
      </c>
    </row>
    <row r="16" spans="2:13" s="1284" customFormat="1" ht="15" customHeight="1">
      <c r="B16" s="1278"/>
      <c r="C16" s="1279" t="s">
        <v>9</v>
      </c>
      <c r="D16" s="1280">
        <v>94</v>
      </c>
      <c r="E16" s="1281"/>
      <c r="F16" s="1285" t="s">
        <v>9</v>
      </c>
      <c r="G16" s="1280">
        <v>0</v>
      </c>
      <c r="H16" s="1281"/>
      <c r="I16" s="1285" t="s">
        <v>9</v>
      </c>
      <c r="J16" s="1280">
        <f t="shared" si="0"/>
        <v>94</v>
      </c>
      <c r="K16" s="1289"/>
      <c r="M16" s="1290" t="s">
        <v>409</v>
      </c>
    </row>
    <row r="17" spans="2:13" s="1284" customFormat="1" ht="15" customHeight="1">
      <c r="B17" s="1278"/>
      <c r="C17" s="1279" t="s">
        <v>55</v>
      </c>
      <c r="D17" s="1280">
        <v>47</v>
      </c>
      <c r="E17" s="1281"/>
      <c r="F17" s="1285" t="s">
        <v>55</v>
      </c>
      <c r="G17" s="1280">
        <v>0</v>
      </c>
      <c r="H17" s="1281"/>
      <c r="I17" s="1285" t="s">
        <v>55</v>
      </c>
      <c r="J17" s="1280">
        <f t="shared" si="0"/>
        <v>47</v>
      </c>
      <c r="K17" s="1289"/>
      <c r="M17" s="1291" t="s">
        <v>312</v>
      </c>
    </row>
    <row r="18" spans="2:13" s="1284" customFormat="1" ht="15" customHeight="1">
      <c r="B18" s="1278"/>
      <c r="C18" s="1285" t="s">
        <v>403</v>
      </c>
      <c r="D18" s="1280">
        <v>-382</v>
      </c>
      <c r="E18" s="1281"/>
      <c r="F18" s="1285" t="s">
        <v>402</v>
      </c>
      <c r="G18" s="1280">
        <v>341</v>
      </c>
      <c r="H18" s="1281"/>
      <c r="I18" s="1285" t="s">
        <v>410</v>
      </c>
      <c r="J18" s="1280">
        <f t="shared" si="0"/>
        <v>-41</v>
      </c>
      <c r="K18" s="1289"/>
      <c r="M18" s="1292"/>
    </row>
    <row r="19" spans="2:13" s="1284" customFormat="1" ht="15" customHeight="1">
      <c r="B19" s="1278"/>
      <c r="C19" s="1293" t="s">
        <v>411</v>
      </c>
      <c r="D19" s="1294">
        <v>7482</v>
      </c>
      <c r="E19" s="1295"/>
      <c r="F19" s="1293" t="s">
        <v>411</v>
      </c>
      <c r="G19" s="1294">
        <f>+SUM(G9:G18)</f>
        <v>0</v>
      </c>
      <c r="H19" s="1295"/>
      <c r="I19" s="1293" t="s">
        <v>411</v>
      </c>
      <c r="J19" s="1294">
        <f t="shared" si="0"/>
        <v>7482</v>
      </c>
      <c r="K19" s="1289"/>
      <c r="M19" s="1296"/>
    </row>
    <row r="20" spans="2:13" s="1284" customFormat="1" ht="15" customHeight="1">
      <c r="B20" s="1278"/>
      <c r="C20" s="1297"/>
      <c r="D20" s="1297"/>
      <c r="E20" s="1281"/>
      <c r="F20" s="1297"/>
      <c r="G20" s="1297"/>
      <c r="H20" s="1281"/>
      <c r="I20" s="1297"/>
      <c r="J20" s="1297"/>
      <c r="K20" s="1289"/>
      <c r="M20" s="1298"/>
    </row>
    <row r="21" spans="2:13" ht="15" customHeight="1">
      <c r="B21" s="1255"/>
      <c r="C21" s="1275" t="s">
        <v>412</v>
      </c>
      <c r="D21" s="1276"/>
      <c r="E21" s="1277"/>
      <c r="F21" s="1275" t="s">
        <v>412</v>
      </c>
      <c r="G21" s="1276"/>
      <c r="H21" s="1277"/>
      <c r="I21" s="1275" t="s">
        <v>412</v>
      </c>
      <c r="J21" s="1276"/>
      <c r="K21" s="1269"/>
      <c r="M21" s="1299"/>
    </row>
    <row r="22" spans="2:13" s="1284" customFormat="1" ht="15" customHeight="1">
      <c r="B22" s="1278"/>
      <c r="C22" s="1279" t="s">
        <v>397</v>
      </c>
      <c r="D22" s="1280">
        <v>1981</v>
      </c>
      <c r="E22" s="1281"/>
      <c r="F22" s="1279" t="s">
        <v>397</v>
      </c>
      <c r="G22" s="1280">
        <v>0</v>
      </c>
      <c r="H22" s="1281"/>
      <c r="I22" s="1282" t="s">
        <v>397</v>
      </c>
      <c r="J22" s="1280">
        <f>+D22+G22</f>
        <v>1981</v>
      </c>
      <c r="K22" s="1283"/>
      <c r="M22" s="1297"/>
    </row>
    <row r="23" spans="2:11" s="1284" customFormat="1" ht="15" customHeight="1">
      <c r="B23" s="1278"/>
      <c r="C23" s="1279" t="s">
        <v>400</v>
      </c>
      <c r="D23" s="1280">
        <v>1260</v>
      </c>
      <c r="E23" s="1281"/>
      <c r="F23" s="1279" t="s">
        <v>400</v>
      </c>
      <c r="G23" s="1280">
        <v>0</v>
      </c>
      <c r="H23" s="1281"/>
      <c r="I23" s="1282" t="s">
        <v>400</v>
      </c>
      <c r="J23" s="1280">
        <f>+D23+G23</f>
        <v>1260</v>
      </c>
      <c r="K23" s="1283"/>
    </row>
    <row r="24" spans="2:11" s="1284" customFormat="1" ht="15" customHeight="1">
      <c r="B24" s="1278"/>
      <c r="C24" s="1279"/>
      <c r="D24" s="1280"/>
      <c r="E24" s="1281"/>
      <c r="F24" s="1285" t="s">
        <v>402</v>
      </c>
      <c r="G24" s="1280">
        <v>-93</v>
      </c>
      <c r="H24" s="1281"/>
      <c r="I24" s="1286" t="s">
        <v>403</v>
      </c>
      <c r="J24" s="1280">
        <f>+D24+G24</f>
        <v>-93</v>
      </c>
      <c r="K24" s="1283"/>
    </row>
    <row r="25" spans="2:11" s="1284" customFormat="1" ht="15" customHeight="1">
      <c r="B25" s="1278"/>
      <c r="C25" s="1279"/>
      <c r="D25" s="1280"/>
      <c r="E25" s="1281"/>
      <c r="F25" s="1279"/>
      <c r="G25" s="1280"/>
      <c r="H25" s="1281"/>
      <c r="I25" s="1287" t="s">
        <v>7</v>
      </c>
      <c r="J25" s="1288">
        <f>+J22+J23+J24</f>
        <v>3148</v>
      </c>
      <c r="K25" s="1283"/>
    </row>
    <row r="26" spans="2:11" s="1284" customFormat="1" ht="15" customHeight="1">
      <c r="B26" s="1278"/>
      <c r="C26" s="1279" t="s">
        <v>404</v>
      </c>
      <c r="D26" s="1280">
        <v>2</v>
      </c>
      <c r="E26" s="1281"/>
      <c r="F26" s="1285" t="s">
        <v>404</v>
      </c>
      <c r="G26" s="1280">
        <v>0</v>
      </c>
      <c r="H26" s="1281"/>
      <c r="I26" s="1285" t="s">
        <v>404</v>
      </c>
      <c r="J26" s="1280">
        <f aca="true" t="shared" si="1" ref="J26:J32">+D26+G26</f>
        <v>2</v>
      </c>
      <c r="K26" s="1283"/>
    </row>
    <row r="27" spans="2:11" s="1284" customFormat="1" ht="15" customHeight="1">
      <c r="B27" s="1278"/>
      <c r="C27" s="1279" t="s">
        <v>406</v>
      </c>
      <c r="D27" s="1280">
        <v>181</v>
      </c>
      <c r="E27" s="1281"/>
      <c r="F27" s="1285" t="s">
        <v>406</v>
      </c>
      <c r="G27" s="1280">
        <v>0</v>
      </c>
      <c r="H27" s="1281"/>
      <c r="I27" s="1285" t="s">
        <v>406</v>
      </c>
      <c r="J27" s="1280">
        <f t="shared" si="1"/>
        <v>181</v>
      </c>
      <c r="K27" s="1289"/>
    </row>
    <row r="28" spans="2:11" s="1284" customFormat="1" ht="15" customHeight="1">
      <c r="B28" s="1278"/>
      <c r="C28" s="1279" t="s">
        <v>408</v>
      </c>
      <c r="D28" s="1280">
        <v>-28</v>
      </c>
      <c r="E28" s="1281"/>
      <c r="F28" s="1285" t="s">
        <v>408</v>
      </c>
      <c r="G28" s="1280">
        <v>0</v>
      </c>
      <c r="H28" s="1281"/>
      <c r="I28" s="1285" t="s">
        <v>408</v>
      </c>
      <c r="J28" s="1280">
        <f t="shared" si="1"/>
        <v>-28</v>
      </c>
      <c r="K28" s="1289"/>
    </row>
    <row r="29" spans="2:11" s="1284" customFormat="1" ht="15" customHeight="1">
      <c r="B29" s="1278"/>
      <c r="C29" s="1279" t="s">
        <v>9</v>
      </c>
      <c r="D29" s="1280">
        <v>-12</v>
      </c>
      <c r="E29" s="1281"/>
      <c r="F29" s="1285" t="s">
        <v>9</v>
      </c>
      <c r="G29" s="1280">
        <v>0</v>
      </c>
      <c r="H29" s="1281"/>
      <c r="I29" s="1285" t="s">
        <v>9</v>
      </c>
      <c r="J29" s="1280">
        <f t="shared" si="1"/>
        <v>-12</v>
      </c>
      <c r="K29" s="1289"/>
    </row>
    <row r="30" spans="2:11" s="1284" customFormat="1" ht="15" customHeight="1">
      <c r="B30" s="1278"/>
      <c r="C30" s="1279" t="s">
        <v>55</v>
      </c>
      <c r="D30" s="1280">
        <v>20</v>
      </c>
      <c r="E30" s="1281"/>
      <c r="F30" s="1285" t="s">
        <v>55</v>
      </c>
      <c r="G30" s="1280">
        <v>0</v>
      </c>
      <c r="H30" s="1281"/>
      <c r="I30" s="1285" t="s">
        <v>55</v>
      </c>
      <c r="J30" s="1280">
        <f t="shared" si="1"/>
        <v>20</v>
      </c>
      <c r="K30" s="1289"/>
    </row>
    <row r="31" spans="2:11" s="1284" customFormat="1" ht="15" customHeight="1">
      <c r="B31" s="1278"/>
      <c r="C31" s="1285" t="s">
        <v>403</v>
      </c>
      <c r="D31" s="1280">
        <v>-109</v>
      </c>
      <c r="E31" s="1281"/>
      <c r="F31" s="1285" t="s">
        <v>402</v>
      </c>
      <c r="G31" s="1280">
        <v>93</v>
      </c>
      <c r="H31" s="1281"/>
      <c r="I31" s="1285" t="s">
        <v>410</v>
      </c>
      <c r="J31" s="1280">
        <f t="shared" si="1"/>
        <v>-16</v>
      </c>
      <c r="K31" s="1289"/>
    </row>
    <row r="32" spans="2:13" s="1284" customFormat="1" ht="15" customHeight="1">
      <c r="B32" s="1278"/>
      <c r="C32" s="1293" t="s">
        <v>411</v>
      </c>
      <c r="D32" s="1294">
        <v>3295</v>
      </c>
      <c r="E32" s="1295"/>
      <c r="F32" s="1293" t="s">
        <v>411</v>
      </c>
      <c r="G32" s="1294">
        <f>+SUM(G22:G31)</f>
        <v>0</v>
      </c>
      <c r="H32" s="1295"/>
      <c r="I32" s="1293" t="s">
        <v>411</v>
      </c>
      <c r="J32" s="1294">
        <f t="shared" si="1"/>
        <v>3295</v>
      </c>
      <c r="K32" s="1289"/>
      <c r="M32" s="1254"/>
    </row>
    <row r="33" spans="2:11" ht="12.75">
      <c r="B33" s="1255"/>
      <c r="C33" s="1298"/>
      <c r="D33" s="1298"/>
      <c r="E33" s="1271"/>
      <c r="F33" s="1271"/>
      <c r="G33" s="1271"/>
      <c r="H33" s="1271"/>
      <c r="I33" s="1271"/>
      <c r="J33" s="1271"/>
      <c r="K33" s="1269"/>
    </row>
    <row r="34" spans="2:13" ht="15" customHeight="1">
      <c r="B34" s="1255"/>
      <c r="C34" s="1275" t="s">
        <v>413</v>
      </c>
      <c r="D34" s="1276"/>
      <c r="E34" s="1277"/>
      <c r="F34" s="1275" t="s">
        <v>413</v>
      </c>
      <c r="G34" s="1276"/>
      <c r="H34" s="1277"/>
      <c r="I34" s="1275" t="s">
        <v>413</v>
      </c>
      <c r="J34" s="1276"/>
      <c r="K34" s="1269"/>
      <c r="M34" s="1284"/>
    </row>
    <row r="35" spans="2:11" s="1284" customFormat="1" ht="15" customHeight="1">
      <c r="B35" s="1278"/>
      <c r="C35" s="1279" t="s">
        <v>397</v>
      </c>
      <c r="D35" s="1280">
        <v>1998</v>
      </c>
      <c r="E35" s="1281"/>
      <c r="F35" s="1279" t="s">
        <v>397</v>
      </c>
      <c r="G35" s="1280">
        <v>0</v>
      </c>
      <c r="H35" s="1281"/>
      <c r="I35" s="1282" t="s">
        <v>397</v>
      </c>
      <c r="J35" s="1280">
        <f>+D35+G35</f>
        <v>1998</v>
      </c>
      <c r="K35" s="1283"/>
    </row>
    <row r="36" spans="2:11" s="1284" customFormat="1" ht="15" customHeight="1">
      <c r="B36" s="1278"/>
      <c r="C36" s="1279" t="s">
        <v>400</v>
      </c>
      <c r="D36" s="1280">
        <v>1269</v>
      </c>
      <c r="E36" s="1281"/>
      <c r="F36" s="1279" t="s">
        <v>400</v>
      </c>
      <c r="G36" s="1280">
        <v>0</v>
      </c>
      <c r="H36" s="1281"/>
      <c r="I36" s="1282" t="s">
        <v>400</v>
      </c>
      <c r="J36" s="1280">
        <f>+D36+G36</f>
        <v>1269</v>
      </c>
      <c r="K36" s="1283"/>
    </row>
    <row r="37" spans="2:11" s="1284" customFormat="1" ht="15" customHeight="1">
      <c r="B37" s="1278"/>
      <c r="C37" s="1279"/>
      <c r="D37" s="1280"/>
      <c r="E37" s="1281"/>
      <c r="F37" s="1285" t="s">
        <v>402</v>
      </c>
      <c r="G37" s="1280">
        <v>-89</v>
      </c>
      <c r="H37" s="1281"/>
      <c r="I37" s="1286" t="s">
        <v>403</v>
      </c>
      <c r="J37" s="1280">
        <f>+D37+G37</f>
        <v>-89</v>
      </c>
      <c r="K37" s="1283"/>
    </row>
    <row r="38" spans="2:11" s="1284" customFormat="1" ht="15" customHeight="1">
      <c r="B38" s="1278"/>
      <c r="C38" s="1279"/>
      <c r="D38" s="1280"/>
      <c r="E38" s="1281"/>
      <c r="F38" s="1279"/>
      <c r="G38" s="1280"/>
      <c r="H38" s="1281"/>
      <c r="I38" s="1287" t="s">
        <v>7</v>
      </c>
      <c r="J38" s="1288">
        <f>+J35+J36+J37</f>
        <v>3178</v>
      </c>
      <c r="K38" s="1283"/>
    </row>
    <row r="39" spans="2:11" s="1284" customFormat="1" ht="15" customHeight="1">
      <c r="B39" s="1278"/>
      <c r="C39" s="1279" t="s">
        <v>404</v>
      </c>
      <c r="D39" s="1280">
        <v>2</v>
      </c>
      <c r="E39" s="1281"/>
      <c r="F39" s="1285" t="s">
        <v>404</v>
      </c>
      <c r="G39" s="1280">
        <v>0</v>
      </c>
      <c r="H39" s="1281"/>
      <c r="I39" s="1285" t="s">
        <v>404</v>
      </c>
      <c r="J39" s="1280">
        <f aca="true" t="shared" si="2" ref="J39:J45">+D39+G39</f>
        <v>2</v>
      </c>
      <c r="K39" s="1283"/>
    </row>
    <row r="40" spans="2:11" s="1284" customFormat="1" ht="15" customHeight="1">
      <c r="B40" s="1278"/>
      <c r="C40" s="1279" t="s">
        <v>406</v>
      </c>
      <c r="D40" s="1280">
        <v>190</v>
      </c>
      <c r="E40" s="1281"/>
      <c r="F40" s="1285" t="s">
        <v>406</v>
      </c>
      <c r="G40" s="1280">
        <v>0</v>
      </c>
      <c r="H40" s="1281"/>
      <c r="I40" s="1285" t="s">
        <v>406</v>
      </c>
      <c r="J40" s="1280">
        <f t="shared" si="2"/>
        <v>190</v>
      </c>
      <c r="K40" s="1289"/>
    </row>
    <row r="41" spans="2:11" s="1284" customFormat="1" ht="15" customHeight="1">
      <c r="B41" s="1278"/>
      <c r="C41" s="1279" t="s">
        <v>408</v>
      </c>
      <c r="D41" s="1280">
        <v>-27</v>
      </c>
      <c r="E41" s="1281"/>
      <c r="F41" s="1285" t="s">
        <v>408</v>
      </c>
      <c r="G41" s="1280">
        <v>0</v>
      </c>
      <c r="H41" s="1281"/>
      <c r="I41" s="1285" t="s">
        <v>408</v>
      </c>
      <c r="J41" s="1280">
        <f t="shared" si="2"/>
        <v>-27</v>
      </c>
      <c r="K41" s="1289"/>
    </row>
    <row r="42" spans="2:11" s="1284" customFormat="1" ht="15" customHeight="1">
      <c r="B42" s="1278"/>
      <c r="C42" s="1279" t="s">
        <v>9</v>
      </c>
      <c r="D42" s="1280">
        <v>-11</v>
      </c>
      <c r="E42" s="1281"/>
      <c r="F42" s="1285" t="s">
        <v>9</v>
      </c>
      <c r="G42" s="1280">
        <v>0</v>
      </c>
      <c r="H42" s="1281"/>
      <c r="I42" s="1285" t="s">
        <v>9</v>
      </c>
      <c r="J42" s="1280">
        <f t="shared" si="2"/>
        <v>-11</v>
      </c>
      <c r="K42" s="1289"/>
    </row>
    <row r="43" spans="2:11" s="1284" customFormat="1" ht="15" customHeight="1">
      <c r="B43" s="1278"/>
      <c r="C43" s="1279" t="s">
        <v>55</v>
      </c>
      <c r="D43" s="1280">
        <v>20</v>
      </c>
      <c r="E43" s="1281"/>
      <c r="F43" s="1285" t="s">
        <v>55</v>
      </c>
      <c r="G43" s="1280">
        <v>0</v>
      </c>
      <c r="H43" s="1281"/>
      <c r="I43" s="1285" t="s">
        <v>55</v>
      </c>
      <c r="J43" s="1280">
        <f t="shared" si="2"/>
        <v>20</v>
      </c>
      <c r="K43" s="1289"/>
    </row>
    <row r="44" spans="2:11" s="1284" customFormat="1" ht="15" customHeight="1">
      <c r="B44" s="1278"/>
      <c r="C44" s="1285" t="s">
        <v>403</v>
      </c>
      <c r="D44" s="1280">
        <v>-105</v>
      </c>
      <c r="E44" s="1281"/>
      <c r="F44" s="1285" t="s">
        <v>402</v>
      </c>
      <c r="G44" s="1280">
        <v>89</v>
      </c>
      <c r="H44" s="1281"/>
      <c r="I44" s="1285" t="s">
        <v>410</v>
      </c>
      <c r="J44" s="1280">
        <f t="shared" si="2"/>
        <v>-16</v>
      </c>
      <c r="K44" s="1289"/>
    </row>
    <row r="45" spans="2:11" s="1284" customFormat="1" ht="15" customHeight="1">
      <c r="B45" s="1278"/>
      <c r="C45" s="1293" t="s">
        <v>411</v>
      </c>
      <c r="D45" s="1294">
        <v>3336</v>
      </c>
      <c r="E45" s="1295"/>
      <c r="F45" s="1293" t="s">
        <v>411</v>
      </c>
      <c r="G45" s="1294">
        <f>+SUM(G35:G44)</f>
        <v>0</v>
      </c>
      <c r="H45" s="1295"/>
      <c r="I45" s="1293" t="s">
        <v>411</v>
      </c>
      <c r="J45" s="1294">
        <f t="shared" si="2"/>
        <v>3336</v>
      </c>
      <c r="K45" s="1289"/>
    </row>
    <row r="46" spans="2:11" s="1284" customFormat="1" ht="15" customHeight="1">
      <c r="B46" s="1278"/>
      <c r="C46" s="1300"/>
      <c r="D46" s="1295"/>
      <c r="E46" s="1295"/>
      <c r="F46" s="1300"/>
      <c r="G46" s="1295"/>
      <c r="H46" s="1295"/>
      <c r="I46" s="1300"/>
      <c r="J46" s="1295"/>
      <c r="K46" s="1289"/>
    </row>
    <row r="47" spans="2:11" s="1284" customFormat="1" ht="15" customHeight="1">
      <c r="B47" s="1278"/>
      <c r="C47" s="1301" t="s">
        <v>414</v>
      </c>
      <c r="D47" s="1297"/>
      <c r="E47" s="1281"/>
      <c r="F47" s="1297"/>
      <c r="G47" s="1297"/>
      <c r="H47" s="1281"/>
      <c r="I47" s="1297"/>
      <c r="J47" s="1297"/>
      <c r="K47" s="1289"/>
    </row>
    <row r="48" spans="2:13" s="1284" customFormat="1" ht="15" customHeight="1">
      <c r="B48" s="1302"/>
      <c r="C48" s="1303" t="s">
        <v>415</v>
      </c>
      <c r="D48" s="1304"/>
      <c r="E48" s="1305"/>
      <c r="F48" s="1304"/>
      <c r="G48" s="1304"/>
      <c r="H48" s="1305"/>
      <c r="I48" s="1304"/>
      <c r="J48" s="1304"/>
      <c r="K48" s="1306"/>
      <c r="M48" s="1254"/>
    </row>
    <row r="49" spans="2:11" ht="18">
      <c r="B49" s="1307"/>
      <c r="C49" s="1558" t="s">
        <v>385</v>
      </c>
      <c r="D49" s="1558"/>
      <c r="E49" s="1558"/>
      <c r="F49" s="1558"/>
      <c r="G49" s="1558"/>
      <c r="H49" s="1558"/>
      <c r="I49" s="1558"/>
      <c r="J49" s="1558"/>
      <c r="K49" s="1308"/>
    </row>
    <row r="50" spans="2:11" ht="15.75">
      <c r="B50" s="1255"/>
      <c r="C50" s="1557" t="s">
        <v>387</v>
      </c>
      <c r="D50" s="1557"/>
      <c r="E50" s="1264"/>
      <c r="F50" s="1264"/>
      <c r="G50" s="1265"/>
      <c r="H50" s="1264"/>
      <c r="I50" s="1557" t="s">
        <v>388</v>
      </c>
      <c r="J50" s="1557"/>
      <c r="K50" s="1269"/>
    </row>
    <row r="51" spans="2:11" ht="12.75">
      <c r="B51" s="1255"/>
      <c r="C51" s="1560" t="s">
        <v>390</v>
      </c>
      <c r="D51" s="1561"/>
      <c r="E51" s="1268"/>
      <c r="F51" s="1560" t="s">
        <v>391</v>
      </c>
      <c r="G51" s="1561"/>
      <c r="H51" s="1268"/>
      <c r="I51" s="1560" t="s">
        <v>392</v>
      </c>
      <c r="J51" s="1561"/>
      <c r="K51" s="1269"/>
    </row>
    <row r="52" spans="2:11" ht="12.75">
      <c r="B52" s="1255"/>
      <c r="C52" s="1271" t="s">
        <v>11</v>
      </c>
      <c r="D52" s="1272" t="s">
        <v>393</v>
      </c>
      <c r="E52" s="1273"/>
      <c r="F52" s="1273"/>
      <c r="G52" s="1272" t="s">
        <v>394</v>
      </c>
      <c r="H52" s="1273"/>
      <c r="I52" s="1273"/>
      <c r="J52" s="1272" t="s">
        <v>395</v>
      </c>
      <c r="K52" s="1269"/>
    </row>
    <row r="53" spans="2:13" ht="15" customHeight="1">
      <c r="B53" s="1255"/>
      <c r="C53" s="1275" t="s">
        <v>416</v>
      </c>
      <c r="D53" s="1276"/>
      <c r="E53" s="1277"/>
      <c r="F53" s="1275" t="s">
        <v>416</v>
      </c>
      <c r="G53" s="1276"/>
      <c r="H53" s="1277"/>
      <c r="I53" s="1275" t="s">
        <v>416</v>
      </c>
      <c r="J53" s="1276"/>
      <c r="K53" s="1269"/>
      <c r="M53" s="1284"/>
    </row>
    <row r="54" spans="2:11" s="1284" customFormat="1" ht="15" customHeight="1">
      <c r="B54" s="1278"/>
      <c r="C54" s="1279" t="s">
        <v>397</v>
      </c>
      <c r="D54" s="1280">
        <v>1213</v>
      </c>
      <c r="E54" s="1281"/>
      <c r="F54" s="1279" t="s">
        <v>397</v>
      </c>
      <c r="G54" s="1280">
        <v>0</v>
      </c>
      <c r="H54" s="1281"/>
      <c r="I54" s="1282" t="s">
        <v>397</v>
      </c>
      <c r="J54" s="1280">
        <f>+D54+G54</f>
        <v>1213</v>
      </c>
      <c r="K54" s="1283"/>
    </row>
    <row r="55" spans="2:11" s="1284" customFormat="1" ht="15" customHeight="1">
      <c r="B55" s="1278"/>
      <c r="C55" s="1279" t="s">
        <v>400</v>
      </c>
      <c r="D55" s="1280">
        <v>925</v>
      </c>
      <c r="E55" s="1281"/>
      <c r="F55" s="1279" t="s">
        <v>400</v>
      </c>
      <c r="G55" s="1280">
        <v>0</v>
      </c>
      <c r="H55" s="1281"/>
      <c r="I55" s="1282" t="s">
        <v>400</v>
      </c>
      <c r="J55" s="1280">
        <f>+D55+G55</f>
        <v>925</v>
      </c>
      <c r="K55" s="1283"/>
    </row>
    <row r="56" spans="2:11" s="1284" customFormat="1" ht="15" customHeight="1">
      <c r="B56" s="1278"/>
      <c r="C56" s="1279"/>
      <c r="D56" s="1280"/>
      <c r="E56" s="1281"/>
      <c r="F56" s="1285" t="s">
        <v>402</v>
      </c>
      <c r="G56" s="1280">
        <v>-57</v>
      </c>
      <c r="H56" s="1281"/>
      <c r="I56" s="1286" t="s">
        <v>403</v>
      </c>
      <c r="J56" s="1280">
        <f>+D56+G56</f>
        <v>-57</v>
      </c>
      <c r="K56" s="1283"/>
    </row>
    <row r="57" spans="2:11" s="1284" customFormat="1" ht="15" customHeight="1">
      <c r="B57" s="1278"/>
      <c r="C57" s="1279"/>
      <c r="D57" s="1280"/>
      <c r="E57" s="1281"/>
      <c r="F57" s="1279"/>
      <c r="G57" s="1280"/>
      <c r="H57" s="1281"/>
      <c r="I57" s="1287" t="s">
        <v>7</v>
      </c>
      <c r="J57" s="1288">
        <f>+J54+J55+J56</f>
        <v>2081</v>
      </c>
      <c r="K57" s="1283"/>
    </row>
    <row r="58" spans="2:11" s="1284" customFormat="1" ht="15" customHeight="1">
      <c r="B58" s="1278"/>
      <c r="C58" s="1279" t="s">
        <v>404</v>
      </c>
      <c r="D58" s="1280">
        <v>-38</v>
      </c>
      <c r="E58" s="1281"/>
      <c r="F58" s="1285" t="s">
        <v>404</v>
      </c>
      <c r="G58" s="1280">
        <v>0</v>
      </c>
      <c r="H58" s="1281"/>
      <c r="I58" s="1285" t="s">
        <v>404</v>
      </c>
      <c r="J58" s="1280">
        <f aca="true" t="shared" si="3" ref="J58:J64">+D58+G58</f>
        <v>-38</v>
      </c>
      <c r="K58" s="1283"/>
    </row>
    <row r="59" spans="2:11" s="1284" customFormat="1" ht="15" customHeight="1">
      <c r="B59" s="1278"/>
      <c r="C59" s="1279" t="s">
        <v>406</v>
      </c>
      <c r="D59" s="1280">
        <v>-36</v>
      </c>
      <c r="E59" s="1281"/>
      <c r="F59" s="1285" t="s">
        <v>406</v>
      </c>
      <c r="G59" s="1280">
        <v>0</v>
      </c>
      <c r="H59" s="1281"/>
      <c r="I59" s="1285" t="s">
        <v>406</v>
      </c>
      <c r="J59" s="1280">
        <f t="shared" si="3"/>
        <v>-36</v>
      </c>
      <c r="K59" s="1289"/>
    </row>
    <row r="60" spans="2:11" s="1284" customFormat="1" ht="15" customHeight="1">
      <c r="B60" s="1278"/>
      <c r="C60" s="1279" t="s">
        <v>408</v>
      </c>
      <c r="D60" s="1280">
        <v>-41</v>
      </c>
      <c r="E60" s="1281"/>
      <c r="F60" s="1285" t="s">
        <v>408</v>
      </c>
      <c r="G60" s="1280">
        <v>0</v>
      </c>
      <c r="H60" s="1281"/>
      <c r="I60" s="1285" t="s">
        <v>408</v>
      </c>
      <c r="J60" s="1280">
        <f t="shared" si="3"/>
        <v>-41</v>
      </c>
      <c r="K60" s="1289"/>
    </row>
    <row r="61" spans="2:11" s="1284" customFormat="1" ht="15" customHeight="1">
      <c r="B61" s="1278"/>
      <c r="C61" s="1279" t="s">
        <v>9</v>
      </c>
      <c r="D61" s="1280">
        <v>-17</v>
      </c>
      <c r="E61" s="1281"/>
      <c r="F61" s="1285" t="s">
        <v>9</v>
      </c>
      <c r="G61" s="1280">
        <v>0</v>
      </c>
      <c r="H61" s="1281"/>
      <c r="I61" s="1285" t="s">
        <v>9</v>
      </c>
      <c r="J61" s="1280">
        <f t="shared" si="3"/>
        <v>-17</v>
      </c>
      <c r="K61" s="1289"/>
    </row>
    <row r="62" spans="2:11" s="1284" customFormat="1" ht="15" customHeight="1">
      <c r="B62" s="1278"/>
      <c r="C62" s="1279" t="s">
        <v>55</v>
      </c>
      <c r="D62" s="1280">
        <v>10</v>
      </c>
      <c r="E62" s="1281"/>
      <c r="F62" s="1285" t="s">
        <v>55</v>
      </c>
      <c r="G62" s="1280">
        <v>0</v>
      </c>
      <c r="H62" s="1281"/>
      <c r="I62" s="1285" t="s">
        <v>55</v>
      </c>
      <c r="J62" s="1280">
        <f t="shared" si="3"/>
        <v>10</v>
      </c>
      <c r="K62" s="1289"/>
    </row>
    <row r="63" spans="2:11" s="1284" customFormat="1" ht="15" customHeight="1">
      <c r="B63" s="1278"/>
      <c r="C63" s="1285" t="s">
        <v>403</v>
      </c>
      <c r="D63" s="1280">
        <v>-32</v>
      </c>
      <c r="E63" s="1281"/>
      <c r="F63" s="1285" t="s">
        <v>402</v>
      </c>
      <c r="G63" s="1280">
        <v>57</v>
      </c>
      <c r="H63" s="1281"/>
      <c r="I63" s="1285" t="s">
        <v>410</v>
      </c>
      <c r="J63" s="1280">
        <f t="shared" si="3"/>
        <v>25</v>
      </c>
      <c r="K63" s="1289"/>
    </row>
    <row r="64" spans="2:13" s="1284" customFormat="1" ht="15" customHeight="1">
      <c r="B64" s="1278"/>
      <c r="C64" s="1293" t="s">
        <v>411</v>
      </c>
      <c r="D64" s="1294">
        <v>1984</v>
      </c>
      <c r="E64" s="1295"/>
      <c r="F64" s="1293" t="s">
        <v>411</v>
      </c>
      <c r="G64" s="1294">
        <f>+SUM(G54:G63)</f>
        <v>0</v>
      </c>
      <c r="H64" s="1295"/>
      <c r="I64" s="1293" t="s">
        <v>411</v>
      </c>
      <c r="J64" s="1294">
        <f t="shared" si="3"/>
        <v>1984</v>
      </c>
      <c r="K64" s="1289"/>
      <c r="M64" s="1254"/>
    </row>
    <row r="65" spans="2:11" ht="12.75">
      <c r="B65" s="1255"/>
      <c r="C65" s="1298"/>
      <c r="D65" s="1298"/>
      <c r="E65" s="1271"/>
      <c r="F65" s="1271"/>
      <c r="G65" s="1271"/>
      <c r="H65" s="1271"/>
      <c r="I65" s="1271"/>
      <c r="J65" s="1271"/>
      <c r="K65" s="1269"/>
    </row>
    <row r="66" spans="2:13" ht="15" customHeight="1">
      <c r="B66" s="1255"/>
      <c r="C66" s="1275" t="s">
        <v>417</v>
      </c>
      <c r="D66" s="1276"/>
      <c r="E66" s="1277"/>
      <c r="F66" s="1275" t="s">
        <v>417</v>
      </c>
      <c r="G66" s="1276"/>
      <c r="H66" s="1277"/>
      <c r="I66" s="1275" t="s">
        <v>417</v>
      </c>
      <c r="J66" s="1276"/>
      <c r="K66" s="1269"/>
      <c r="M66" s="1309"/>
    </row>
    <row r="67" spans="2:15" s="1284" customFormat="1" ht="15" customHeight="1">
      <c r="B67" s="1278"/>
      <c r="C67" s="1279" t="s">
        <v>397</v>
      </c>
      <c r="D67" s="1280">
        <v>1230</v>
      </c>
      <c r="E67" s="1281"/>
      <c r="F67" s="1279" t="s">
        <v>397</v>
      </c>
      <c r="G67" s="1280">
        <v>0</v>
      </c>
      <c r="H67" s="1281"/>
      <c r="I67" s="1282" t="s">
        <v>397</v>
      </c>
      <c r="J67" s="1280">
        <f>+D67+G67</f>
        <v>1230</v>
      </c>
      <c r="K67" s="1310"/>
      <c r="L67" s="1309"/>
      <c r="M67" s="1309"/>
      <c r="N67" s="1309"/>
      <c r="O67" s="1309"/>
    </row>
    <row r="68" spans="2:15" s="1284" customFormat="1" ht="15" customHeight="1">
      <c r="B68" s="1278"/>
      <c r="C68" s="1279" t="s">
        <v>400</v>
      </c>
      <c r="D68" s="1280">
        <v>934</v>
      </c>
      <c r="E68" s="1281"/>
      <c r="F68" s="1279" t="s">
        <v>400</v>
      </c>
      <c r="G68" s="1280">
        <v>0</v>
      </c>
      <c r="H68" s="1281"/>
      <c r="I68" s="1282" t="s">
        <v>400</v>
      </c>
      <c r="J68" s="1280">
        <f>+D68+G68</f>
        <v>934</v>
      </c>
      <c r="K68" s="1310"/>
      <c r="L68" s="1309"/>
      <c r="M68" s="1309"/>
      <c r="N68" s="1309"/>
      <c r="O68" s="1309"/>
    </row>
    <row r="69" spans="2:15" s="1284" customFormat="1" ht="15" customHeight="1">
      <c r="B69" s="1278"/>
      <c r="C69" s="1279"/>
      <c r="D69" s="1280"/>
      <c r="E69" s="1281"/>
      <c r="F69" s="1285" t="s">
        <v>402</v>
      </c>
      <c r="G69" s="1280">
        <v>-138</v>
      </c>
      <c r="H69" s="1281"/>
      <c r="I69" s="1286" t="s">
        <v>403</v>
      </c>
      <c r="J69" s="1280">
        <f>+D69+G69</f>
        <v>-138</v>
      </c>
      <c r="K69" s="1310"/>
      <c r="L69" s="1309"/>
      <c r="M69" s="1309"/>
      <c r="N69" s="1309"/>
      <c r="O69" s="1309"/>
    </row>
    <row r="70" spans="2:15" s="1284" customFormat="1" ht="15" customHeight="1">
      <c r="B70" s="1278"/>
      <c r="C70" s="1279"/>
      <c r="D70" s="1280"/>
      <c r="E70" s="1281"/>
      <c r="F70" s="1279"/>
      <c r="G70" s="1280"/>
      <c r="H70" s="1281"/>
      <c r="I70" s="1287" t="s">
        <v>7</v>
      </c>
      <c r="J70" s="1288">
        <f>+J67+J68+J69</f>
        <v>2026</v>
      </c>
      <c r="K70" s="1310"/>
      <c r="L70" s="1309"/>
      <c r="M70" s="1309"/>
      <c r="N70" s="1309"/>
      <c r="O70" s="1309"/>
    </row>
    <row r="71" spans="2:15" s="1284" customFormat="1" ht="15" customHeight="1">
      <c r="B71" s="1278"/>
      <c r="C71" s="1279" t="s">
        <v>404</v>
      </c>
      <c r="D71" s="1280">
        <v>-38</v>
      </c>
      <c r="E71" s="1281"/>
      <c r="F71" s="1285" t="s">
        <v>404</v>
      </c>
      <c r="G71" s="1280">
        <v>0</v>
      </c>
      <c r="H71" s="1281"/>
      <c r="I71" s="1285" t="s">
        <v>404</v>
      </c>
      <c r="J71" s="1280">
        <f aca="true" t="shared" si="4" ref="J71:J77">+D71+G71</f>
        <v>-38</v>
      </c>
      <c r="K71" s="1310"/>
      <c r="L71" s="1309"/>
      <c r="M71" s="1309"/>
      <c r="N71" s="1309"/>
      <c r="O71" s="1309"/>
    </row>
    <row r="72" spans="2:15" s="1284" customFormat="1" ht="15" customHeight="1">
      <c r="B72" s="1278"/>
      <c r="C72" s="1279" t="s">
        <v>406</v>
      </c>
      <c r="D72" s="1280">
        <v>-27</v>
      </c>
      <c r="E72" s="1281"/>
      <c r="F72" s="1285" t="s">
        <v>406</v>
      </c>
      <c r="G72" s="1280">
        <v>0</v>
      </c>
      <c r="H72" s="1281"/>
      <c r="I72" s="1285" t="s">
        <v>406</v>
      </c>
      <c r="J72" s="1280">
        <f t="shared" si="4"/>
        <v>-27</v>
      </c>
      <c r="K72" s="1311"/>
      <c r="L72" s="1309"/>
      <c r="M72" s="1309"/>
      <c r="N72" s="1309"/>
      <c r="O72" s="1309"/>
    </row>
    <row r="73" spans="2:15" s="1284" customFormat="1" ht="15" customHeight="1">
      <c r="B73" s="1278"/>
      <c r="C73" s="1279" t="s">
        <v>408</v>
      </c>
      <c r="D73" s="1280">
        <v>-40</v>
      </c>
      <c r="E73" s="1281"/>
      <c r="F73" s="1285" t="s">
        <v>408</v>
      </c>
      <c r="G73" s="1280">
        <v>0</v>
      </c>
      <c r="H73" s="1281"/>
      <c r="I73" s="1285" t="s">
        <v>408</v>
      </c>
      <c r="J73" s="1280">
        <f t="shared" si="4"/>
        <v>-40</v>
      </c>
      <c r="K73" s="1311"/>
      <c r="L73" s="1309"/>
      <c r="M73" s="1309"/>
      <c r="N73" s="1309"/>
      <c r="O73" s="1309"/>
    </row>
    <row r="74" spans="2:15" s="1284" customFormat="1" ht="15" customHeight="1">
      <c r="B74" s="1278"/>
      <c r="C74" s="1279" t="s">
        <v>9</v>
      </c>
      <c r="D74" s="1280">
        <v>-16</v>
      </c>
      <c r="E74" s="1281"/>
      <c r="F74" s="1285" t="s">
        <v>9</v>
      </c>
      <c r="G74" s="1280">
        <v>0</v>
      </c>
      <c r="H74" s="1281"/>
      <c r="I74" s="1285" t="s">
        <v>9</v>
      </c>
      <c r="J74" s="1280">
        <f t="shared" si="4"/>
        <v>-16</v>
      </c>
      <c r="K74" s="1311"/>
      <c r="L74" s="1309"/>
      <c r="M74" s="1309"/>
      <c r="N74" s="1309"/>
      <c r="O74" s="1309"/>
    </row>
    <row r="75" spans="2:15" s="1284" customFormat="1" ht="15" customHeight="1">
      <c r="B75" s="1278"/>
      <c r="C75" s="1279" t="s">
        <v>55</v>
      </c>
      <c r="D75" s="1280">
        <v>10</v>
      </c>
      <c r="E75" s="1281"/>
      <c r="F75" s="1285" t="s">
        <v>55</v>
      </c>
      <c r="G75" s="1280">
        <v>0</v>
      </c>
      <c r="H75" s="1281"/>
      <c r="I75" s="1285" t="s">
        <v>55</v>
      </c>
      <c r="J75" s="1280">
        <f t="shared" si="4"/>
        <v>10</v>
      </c>
      <c r="K75" s="1311"/>
      <c r="L75" s="1309"/>
      <c r="M75" s="1309"/>
      <c r="N75" s="1309"/>
      <c r="O75" s="1309"/>
    </row>
    <row r="76" spans="2:15" s="1284" customFormat="1" ht="15" customHeight="1">
      <c r="B76" s="1278"/>
      <c r="C76" s="1285" t="s">
        <v>403</v>
      </c>
      <c r="D76" s="1280">
        <v>-140</v>
      </c>
      <c r="E76" s="1281"/>
      <c r="F76" s="1285" t="s">
        <v>402</v>
      </c>
      <c r="G76" s="1280">
        <v>138</v>
      </c>
      <c r="H76" s="1281"/>
      <c r="I76" s="1285" t="s">
        <v>410</v>
      </c>
      <c r="J76" s="1280">
        <f t="shared" si="4"/>
        <v>-2</v>
      </c>
      <c r="K76" s="1311"/>
      <c r="L76" s="1309"/>
      <c r="M76" s="1309"/>
      <c r="N76" s="1309"/>
      <c r="O76" s="1309"/>
    </row>
    <row r="77" spans="2:15" s="1284" customFormat="1" ht="15" customHeight="1">
      <c r="B77" s="1278"/>
      <c r="C77" s="1293" t="s">
        <v>411</v>
      </c>
      <c r="D77" s="1294">
        <v>1913</v>
      </c>
      <c r="E77" s="1295"/>
      <c r="F77" s="1293" t="s">
        <v>411</v>
      </c>
      <c r="G77" s="1294">
        <f>+SUM(G67:G76)</f>
        <v>0</v>
      </c>
      <c r="H77" s="1295"/>
      <c r="I77" s="1293" t="s">
        <v>411</v>
      </c>
      <c r="J77" s="1294">
        <f t="shared" si="4"/>
        <v>1913</v>
      </c>
      <c r="K77" s="1311"/>
      <c r="L77" s="1309"/>
      <c r="M77" s="1254"/>
      <c r="N77" s="1309"/>
      <c r="O77" s="1309"/>
    </row>
    <row r="78" spans="2:13" ht="12.75">
      <c r="B78" s="1255"/>
      <c r="C78" s="1298"/>
      <c r="D78" s="1298"/>
      <c r="E78" s="1271"/>
      <c r="F78" s="1271"/>
      <c r="G78" s="1271"/>
      <c r="H78" s="1271"/>
      <c r="I78" s="1271"/>
      <c r="J78" s="1271"/>
      <c r="K78" s="1269"/>
      <c r="M78" s="1284"/>
    </row>
    <row r="79" spans="2:11" s="1284" customFormat="1" ht="15" customHeight="1">
      <c r="B79" s="1278"/>
      <c r="C79" s="1301" t="s">
        <v>415</v>
      </c>
      <c r="D79" s="1297"/>
      <c r="E79" s="1281"/>
      <c r="F79" s="1297"/>
      <c r="G79" s="1297"/>
      <c r="H79" s="1281"/>
      <c r="I79" s="1297"/>
      <c r="J79" s="1297"/>
      <c r="K79" s="1289"/>
    </row>
    <row r="80" spans="2:13" s="1284" customFormat="1" ht="15" customHeight="1">
      <c r="B80" s="1302"/>
      <c r="C80" s="1303"/>
      <c r="D80" s="1304"/>
      <c r="E80" s="1305"/>
      <c r="F80" s="1304"/>
      <c r="G80" s="1304"/>
      <c r="H80" s="1305"/>
      <c r="I80" s="1304"/>
      <c r="J80" s="1304"/>
      <c r="K80" s="1306"/>
      <c r="M80" s="1254"/>
    </row>
    <row r="81" spans="2:11" ht="18">
      <c r="B81" s="1307"/>
      <c r="C81" s="1558" t="s">
        <v>418</v>
      </c>
      <c r="D81" s="1558"/>
      <c r="E81" s="1558"/>
      <c r="F81" s="1558"/>
      <c r="G81" s="1558"/>
      <c r="H81" s="1558"/>
      <c r="I81" s="1558"/>
      <c r="J81" s="1558"/>
      <c r="K81" s="1308"/>
    </row>
    <row r="82" spans="2:11" ht="15.75">
      <c r="B82" s="1255"/>
      <c r="C82" s="1557" t="s">
        <v>387</v>
      </c>
      <c r="D82" s="1557"/>
      <c r="E82" s="1264"/>
      <c r="F82" s="1264"/>
      <c r="G82" s="1265"/>
      <c r="H82" s="1264"/>
      <c r="I82" s="1557" t="s">
        <v>388</v>
      </c>
      <c r="J82" s="1557"/>
      <c r="K82" s="1269"/>
    </row>
    <row r="83" spans="2:11" ht="12.75">
      <c r="B83" s="1255"/>
      <c r="C83" s="1560" t="s">
        <v>419</v>
      </c>
      <c r="D83" s="1563"/>
      <c r="E83" s="1268"/>
      <c r="F83" s="1563" t="s">
        <v>391</v>
      </c>
      <c r="G83" s="1563"/>
      <c r="H83" s="1268"/>
      <c r="I83" s="1563" t="s">
        <v>420</v>
      </c>
      <c r="J83" s="1563"/>
      <c r="K83" s="1269"/>
    </row>
    <row r="84" spans="2:11" ht="12.75">
      <c r="B84" s="1255"/>
      <c r="C84" s="1271" t="s">
        <v>11</v>
      </c>
      <c r="D84" s="1272" t="s">
        <v>393</v>
      </c>
      <c r="E84" s="1273"/>
      <c r="F84" s="1273"/>
      <c r="G84" s="1272" t="s">
        <v>394</v>
      </c>
      <c r="H84" s="1273"/>
      <c r="I84" s="1273"/>
      <c r="J84" s="1272" t="s">
        <v>395</v>
      </c>
      <c r="K84" s="1269"/>
    </row>
    <row r="85" spans="2:11" ht="12.75">
      <c r="B85" s="1255"/>
      <c r="C85" s="1312" t="s">
        <v>0</v>
      </c>
      <c r="D85" s="1313"/>
      <c r="E85" s="1277"/>
      <c r="F85" s="1314" t="s">
        <v>0</v>
      </c>
      <c r="G85" s="1313"/>
      <c r="H85" s="1277"/>
      <c r="I85" s="1314" t="s">
        <v>0</v>
      </c>
      <c r="J85" s="1313"/>
      <c r="K85" s="1269"/>
    </row>
    <row r="86" spans="2:11" ht="12.75">
      <c r="B86" s="1255"/>
      <c r="C86" s="1315" t="s">
        <v>397</v>
      </c>
      <c r="D86" s="1316">
        <v>8550</v>
      </c>
      <c r="E86" s="1281"/>
      <c r="F86" s="1317" t="s">
        <v>398</v>
      </c>
      <c r="G86" s="1316">
        <f>7+42</f>
        <v>49</v>
      </c>
      <c r="H86" s="1281"/>
      <c r="I86" s="1318" t="s">
        <v>397</v>
      </c>
      <c r="J86" s="1316">
        <f>+D86+G86</f>
        <v>8599</v>
      </c>
      <c r="K86" s="1269"/>
    </row>
    <row r="87" spans="2:11" ht="12.75">
      <c r="B87" s="1255"/>
      <c r="C87" s="1315" t="s">
        <v>400</v>
      </c>
      <c r="D87" s="1316">
        <v>4982</v>
      </c>
      <c r="E87" s="1281"/>
      <c r="F87" s="1317" t="s">
        <v>400</v>
      </c>
      <c r="G87" s="1316">
        <v>0</v>
      </c>
      <c r="H87" s="1281"/>
      <c r="I87" s="1318" t="s">
        <v>400</v>
      </c>
      <c r="J87" s="1316">
        <f>+D87+G87</f>
        <v>4982</v>
      </c>
      <c r="K87" s="1269"/>
    </row>
    <row r="88" spans="2:11" ht="12.75">
      <c r="B88" s="1255"/>
      <c r="C88" s="1315"/>
      <c r="D88" s="1316"/>
      <c r="E88" s="1281"/>
      <c r="F88" s="1319" t="s">
        <v>402</v>
      </c>
      <c r="G88" s="1316">
        <f>-1349+645</f>
        <v>-704</v>
      </c>
      <c r="H88" s="1281"/>
      <c r="I88" s="1320" t="s">
        <v>403</v>
      </c>
      <c r="J88" s="1316">
        <f>+D88+G88</f>
        <v>-704</v>
      </c>
      <c r="K88" s="1269"/>
    </row>
    <row r="89" spans="2:11" ht="12.75">
      <c r="B89" s="1255"/>
      <c r="C89" s="1315"/>
      <c r="D89" s="1316"/>
      <c r="E89" s="1281"/>
      <c r="F89" s="1317"/>
      <c r="G89" s="1316"/>
      <c r="H89" s="1281"/>
      <c r="I89" s="1321" t="s">
        <v>7</v>
      </c>
      <c r="J89" s="1322">
        <f>+J86+J87+J88</f>
        <v>12877</v>
      </c>
      <c r="K89" s="1269"/>
    </row>
    <row r="90" spans="2:11" ht="12.75">
      <c r="B90" s="1255"/>
      <c r="C90" s="1315" t="s">
        <v>404</v>
      </c>
      <c r="D90" s="1316">
        <v>427</v>
      </c>
      <c r="E90" s="1281"/>
      <c r="F90" s="1319" t="s">
        <v>404</v>
      </c>
      <c r="G90" s="1316">
        <v>0</v>
      </c>
      <c r="H90" s="1281"/>
      <c r="I90" s="1319" t="s">
        <v>404</v>
      </c>
      <c r="J90" s="1316">
        <f aca="true" t="shared" si="5" ref="J90:J96">+D90+G90</f>
        <v>427</v>
      </c>
      <c r="K90" s="1269"/>
    </row>
    <row r="91" spans="2:11" ht="12.75">
      <c r="B91" s="1255"/>
      <c r="C91" s="1315" t="s">
        <v>406</v>
      </c>
      <c r="D91" s="1316">
        <v>1722</v>
      </c>
      <c r="E91" s="1281"/>
      <c r="F91" s="1319" t="s">
        <v>406</v>
      </c>
      <c r="G91" s="1316">
        <v>0</v>
      </c>
      <c r="H91" s="1281"/>
      <c r="I91" s="1319" t="s">
        <v>406</v>
      </c>
      <c r="J91" s="1316">
        <f t="shared" si="5"/>
        <v>1722</v>
      </c>
      <c r="K91" s="1269"/>
    </row>
    <row r="92" spans="2:11" ht="12.75">
      <c r="B92" s="1255"/>
      <c r="C92" s="1315" t="s">
        <v>408</v>
      </c>
      <c r="D92" s="1316">
        <v>98</v>
      </c>
      <c r="E92" s="1281"/>
      <c r="F92" s="1319" t="s">
        <v>408</v>
      </c>
      <c r="G92" s="1316">
        <v>0</v>
      </c>
      <c r="H92" s="1281"/>
      <c r="I92" s="1319" t="s">
        <v>408</v>
      </c>
      <c r="J92" s="1316">
        <f t="shared" si="5"/>
        <v>98</v>
      </c>
      <c r="K92" s="1269"/>
    </row>
    <row r="93" spans="2:11" ht="12.75">
      <c r="B93" s="1255"/>
      <c r="C93" s="1315" t="s">
        <v>9</v>
      </c>
      <c r="D93" s="1316">
        <v>212</v>
      </c>
      <c r="E93" s="1281"/>
      <c r="F93" s="1319" t="s">
        <v>9</v>
      </c>
      <c r="G93" s="1316">
        <v>0</v>
      </c>
      <c r="H93" s="1281"/>
      <c r="I93" s="1319" t="s">
        <v>9</v>
      </c>
      <c r="J93" s="1316">
        <f t="shared" si="5"/>
        <v>212</v>
      </c>
      <c r="K93" s="1269"/>
    </row>
    <row r="94" spans="2:11" ht="12.75">
      <c r="B94" s="1255"/>
      <c r="C94" s="1315" t="s">
        <v>55</v>
      </c>
      <c r="D94" s="1316">
        <v>93</v>
      </c>
      <c r="E94" s="1281"/>
      <c r="F94" s="1319" t="s">
        <v>55</v>
      </c>
      <c r="G94" s="1316">
        <v>0</v>
      </c>
      <c r="H94" s="1281"/>
      <c r="I94" s="1319" t="s">
        <v>55</v>
      </c>
      <c r="J94" s="1316">
        <f t="shared" si="5"/>
        <v>93</v>
      </c>
      <c r="K94" s="1269"/>
    </row>
    <row r="95" spans="2:11" ht="12.75">
      <c r="B95" s="1255"/>
      <c r="C95" s="1323" t="s">
        <v>403</v>
      </c>
      <c r="D95" s="1316">
        <f>+D96-D86-D87-D90-D91-D92-D93-D94</f>
        <v>-749</v>
      </c>
      <c r="E95" s="1281"/>
      <c r="F95" s="1319" t="s">
        <v>402</v>
      </c>
      <c r="G95" s="1316">
        <f>-7+704-42</f>
        <v>655</v>
      </c>
      <c r="H95" s="1281"/>
      <c r="I95" s="1319" t="s">
        <v>410</v>
      </c>
      <c r="J95" s="1316">
        <f t="shared" si="5"/>
        <v>-94</v>
      </c>
      <c r="K95" s="1269"/>
    </row>
    <row r="96" spans="2:11" ht="12.75">
      <c r="B96" s="1255"/>
      <c r="C96" s="1324" t="s">
        <v>411</v>
      </c>
      <c r="D96" s="1325">
        <v>15335</v>
      </c>
      <c r="E96" s="1295"/>
      <c r="F96" s="1326" t="s">
        <v>411</v>
      </c>
      <c r="G96" s="1325">
        <f>+SUM(G86:G95)</f>
        <v>0</v>
      </c>
      <c r="H96" s="1295"/>
      <c r="I96" s="1326" t="s">
        <v>411</v>
      </c>
      <c r="J96" s="1325">
        <f t="shared" si="5"/>
        <v>15335</v>
      </c>
      <c r="K96" s="1269"/>
    </row>
    <row r="97" spans="2:11" ht="12.75">
      <c r="B97" s="1255"/>
      <c r="C97" s="1297"/>
      <c r="D97" s="1297"/>
      <c r="E97" s="1281"/>
      <c r="F97" s="1297"/>
      <c r="G97" s="1297"/>
      <c r="H97" s="1281"/>
      <c r="I97" s="1297"/>
      <c r="J97" s="1297"/>
      <c r="K97" s="1269"/>
    </row>
    <row r="98" spans="2:11" ht="12.75">
      <c r="B98" s="1255"/>
      <c r="C98" s="1312" t="s">
        <v>412</v>
      </c>
      <c r="D98" s="1313"/>
      <c r="E98" s="1277"/>
      <c r="F98" s="1314" t="s">
        <v>412</v>
      </c>
      <c r="G98" s="1313"/>
      <c r="H98" s="1277"/>
      <c r="I98" s="1314" t="s">
        <v>412</v>
      </c>
      <c r="J98" s="1313"/>
      <c r="K98" s="1269"/>
    </row>
    <row r="99" spans="2:11" ht="12.75">
      <c r="B99" s="1255"/>
      <c r="C99" s="1315" t="s">
        <v>397</v>
      </c>
      <c r="D99" s="1316">
        <f>3902-14</f>
        <v>3888</v>
      </c>
      <c r="E99" s="1281"/>
      <c r="F99" s="1317" t="s">
        <v>397</v>
      </c>
      <c r="G99" s="1316">
        <v>4</v>
      </c>
      <c r="H99" s="1281"/>
      <c r="I99" s="1318" t="s">
        <v>397</v>
      </c>
      <c r="J99" s="1316">
        <f>+D99+G99</f>
        <v>3892</v>
      </c>
      <c r="K99" s="1269"/>
    </row>
    <row r="100" spans="2:11" ht="12.75">
      <c r="B100" s="1255"/>
      <c r="C100" s="1315" t="s">
        <v>400</v>
      </c>
      <c r="D100" s="1316">
        <v>2553</v>
      </c>
      <c r="E100" s="1281"/>
      <c r="F100" s="1317" t="s">
        <v>400</v>
      </c>
      <c r="G100" s="1316">
        <v>0</v>
      </c>
      <c r="H100" s="1281"/>
      <c r="I100" s="1318" t="s">
        <v>400</v>
      </c>
      <c r="J100" s="1316">
        <f>+D100+G100</f>
        <v>2553</v>
      </c>
      <c r="K100" s="1269"/>
    </row>
    <row r="101" spans="2:11" ht="12.75">
      <c r="B101" s="1255"/>
      <c r="C101" s="1315"/>
      <c r="D101" s="1316"/>
      <c r="E101" s="1281"/>
      <c r="F101" s="1319" t="s">
        <v>402</v>
      </c>
      <c r="G101" s="1316">
        <f>-233-2</f>
        <v>-235</v>
      </c>
      <c r="H101" s="1281"/>
      <c r="I101" s="1320" t="s">
        <v>403</v>
      </c>
      <c r="J101" s="1316">
        <f>+D101+G101</f>
        <v>-235</v>
      </c>
      <c r="K101" s="1269"/>
    </row>
    <row r="102" spans="2:11" ht="12.75">
      <c r="B102" s="1255"/>
      <c r="C102" s="1315"/>
      <c r="D102" s="1316"/>
      <c r="E102" s="1281"/>
      <c r="F102" s="1317"/>
      <c r="G102" s="1316"/>
      <c r="H102" s="1281"/>
      <c r="I102" s="1321" t="s">
        <v>7</v>
      </c>
      <c r="J102" s="1322">
        <f>+J99+J100+J101</f>
        <v>6210</v>
      </c>
      <c r="K102" s="1269"/>
    </row>
    <row r="103" spans="2:11" ht="12.75">
      <c r="B103" s="1255"/>
      <c r="C103" s="1315" t="s">
        <v>404</v>
      </c>
      <c r="D103" s="1316">
        <v>14</v>
      </c>
      <c r="E103" s="1281"/>
      <c r="F103" s="1319" t="s">
        <v>404</v>
      </c>
      <c r="G103" s="1316">
        <v>0</v>
      </c>
      <c r="H103" s="1281"/>
      <c r="I103" s="1319" t="s">
        <v>404</v>
      </c>
      <c r="J103" s="1316">
        <f aca="true" t="shared" si="6" ref="J103:J109">+D103+G103</f>
        <v>14</v>
      </c>
      <c r="K103" s="1269"/>
    </row>
    <row r="104" spans="2:11" ht="12.75">
      <c r="B104" s="1255"/>
      <c r="C104" s="1315" t="s">
        <v>406</v>
      </c>
      <c r="D104" s="1316">
        <v>354</v>
      </c>
      <c r="E104" s="1281"/>
      <c r="F104" s="1319" t="s">
        <v>406</v>
      </c>
      <c r="G104" s="1316">
        <v>0</v>
      </c>
      <c r="H104" s="1281"/>
      <c r="I104" s="1319" t="s">
        <v>406</v>
      </c>
      <c r="J104" s="1316">
        <f t="shared" si="6"/>
        <v>354</v>
      </c>
      <c r="K104" s="1269"/>
    </row>
    <row r="105" spans="2:11" ht="12.75">
      <c r="B105" s="1255"/>
      <c r="C105" s="1315" t="s">
        <v>408</v>
      </c>
      <c r="D105" s="1316">
        <v>-52</v>
      </c>
      <c r="E105" s="1281"/>
      <c r="F105" s="1319" t="s">
        <v>408</v>
      </c>
      <c r="G105" s="1316">
        <v>0</v>
      </c>
      <c r="H105" s="1281"/>
      <c r="I105" s="1319" t="s">
        <v>408</v>
      </c>
      <c r="J105" s="1316">
        <f t="shared" si="6"/>
        <v>-52</v>
      </c>
      <c r="K105" s="1269"/>
    </row>
    <row r="106" spans="2:11" ht="12.75">
      <c r="B106" s="1255"/>
      <c r="C106" s="1315" t="s">
        <v>9</v>
      </c>
      <c r="D106" s="1316">
        <v>-26</v>
      </c>
      <c r="E106" s="1281"/>
      <c r="F106" s="1319" t="s">
        <v>9</v>
      </c>
      <c r="G106" s="1316">
        <v>0</v>
      </c>
      <c r="H106" s="1281"/>
      <c r="I106" s="1319" t="s">
        <v>9</v>
      </c>
      <c r="J106" s="1316">
        <f t="shared" si="6"/>
        <v>-26</v>
      </c>
      <c r="K106" s="1269"/>
    </row>
    <row r="107" spans="2:11" ht="12.75">
      <c r="B107" s="1255"/>
      <c r="C107" s="1315" t="s">
        <v>55</v>
      </c>
      <c r="D107" s="1316">
        <v>37</v>
      </c>
      <c r="E107" s="1281"/>
      <c r="F107" s="1319" t="s">
        <v>55</v>
      </c>
      <c r="G107" s="1316">
        <v>0</v>
      </c>
      <c r="H107" s="1281"/>
      <c r="I107" s="1319" t="s">
        <v>55</v>
      </c>
      <c r="J107" s="1316">
        <f t="shared" si="6"/>
        <v>37</v>
      </c>
      <c r="K107" s="1269"/>
    </row>
    <row r="108" spans="2:11" ht="12.75">
      <c r="B108" s="1255"/>
      <c r="C108" s="1323" t="s">
        <v>403</v>
      </c>
      <c r="D108" s="1316">
        <f>+D109-D99-D100-D103-D104-D105-D106-D107</f>
        <v>-250</v>
      </c>
      <c r="E108" s="1281"/>
      <c r="F108" s="1319" t="s">
        <v>402</v>
      </c>
      <c r="G108" s="1316">
        <f>-4+235</f>
        <v>231</v>
      </c>
      <c r="H108" s="1281"/>
      <c r="I108" s="1319" t="s">
        <v>410</v>
      </c>
      <c r="J108" s="1316">
        <f t="shared" si="6"/>
        <v>-19</v>
      </c>
      <c r="K108" s="1269"/>
    </row>
    <row r="109" spans="2:11" ht="12.75">
      <c r="B109" s="1255"/>
      <c r="C109" s="1324" t="s">
        <v>411</v>
      </c>
      <c r="D109" s="1325">
        <v>6518</v>
      </c>
      <c r="E109" s="1295"/>
      <c r="F109" s="1326" t="s">
        <v>411</v>
      </c>
      <c r="G109" s="1325">
        <f>+SUM(G99:G108)</f>
        <v>0</v>
      </c>
      <c r="H109" s="1295"/>
      <c r="I109" s="1326" t="s">
        <v>411</v>
      </c>
      <c r="J109" s="1325">
        <f t="shared" si="6"/>
        <v>6518</v>
      </c>
      <c r="K109" s="1269"/>
    </row>
    <row r="110" spans="2:11" ht="12.75">
      <c r="B110" s="1255"/>
      <c r="C110" s="1298"/>
      <c r="D110" s="1298"/>
      <c r="E110" s="1271"/>
      <c r="F110" s="1271"/>
      <c r="G110" s="1271"/>
      <c r="H110" s="1271"/>
      <c r="I110" s="1271"/>
      <c r="J110" s="1271"/>
      <c r="K110" s="1269"/>
    </row>
    <row r="111" spans="2:11" ht="12.75">
      <c r="B111" s="1255"/>
      <c r="C111" s="1312" t="s">
        <v>413</v>
      </c>
      <c r="D111" s="1313"/>
      <c r="E111" s="1277"/>
      <c r="F111" s="1314" t="s">
        <v>413</v>
      </c>
      <c r="G111" s="1313"/>
      <c r="H111" s="1277"/>
      <c r="I111" s="1314" t="s">
        <v>413</v>
      </c>
      <c r="J111" s="1313"/>
      <c r="K111" s="1269"/>
    </row>
    <row r="112" spans="2:11" ht="12.75">
      <c r="B112" s="1255"/>
      <c r="C112" s="1315" t="s">
        <v>397</v>
      </c>
      <c r="D112" s="1316">
        <f>+D99+50</f>
        <v>3938</v>
      </c>
      <c r="E112" s="1281"/>
      <c r="F112" s="1317" t="s">
        <v>397</v>
      </c>
      <c r="G112" s="1316">
        <v>4</v>
      </c>
      <c r="H112" s="1281"/>
      <c r="I112" s="1318" t="s">
        <v>397</v>
      </c>
      <c r="J112" s="1316">
        <f>+D112+G112</f>
        <v>3942</v>
      </c>
      <c r="K112" s="1269"/>
    </row>
    <row r="113" spans="2:11" ht="12.75">
      <c r="B113" s="1255"/>
      <c r="C113" s="1315" t="s">
        <v>400</v>
      </c>
      <c r="D113" s="1316">
        <f>+D100+17</f>
        <v>2570</v>
      </c>
      <c r="E113" s="1281"/>
      <c r="F113" s="1317" t="s">
        <v>400</v>
      </c>
      <c r="G113" s="1316">
        <v>0</v>
      </c>
      <c r="H113" s="1281"/>
      <c r="I113" s="1318" t="s">
        <v>400</v>
      </c>
      <c r="J113" s="1316">
        <f>+D113+G113</f>
        <v>2570</v>
      </c>
      <c r="K113" s="1269"/>
    </row>
    <row r="114" spans="2:11" ht="12.75">
      <c r="B114" s="1255"/>
      <c r="C114" s="1315"/>
      <c r="D114" s="1316"/>
      <c r="E114" s="1281"/>
      <c r="F114" s="1319" t="s">
        <v>402</v>
      </c>
      <c r="G114" s="1316">
        <f>+G101+12</f>
        <v>-223</v>
      </c>
      <c r="H114" s="1281"/>
      <c r="I114" s="1320" t="s">
        <v>403</v>
      </c>
      <c r="J114" s="1316">
        <f>+D114+G114</f>
        <v>-223</v>
      </c>
      <c r="K114" s="1269"/>
    </row>
    <row r="115" spans="2:11" ht="12.75">
      <c r="B115" s="1255"/>
      <c r="C115" s="1315"/>
      <c r="D115" s="1316"/>
      <c r="E115" s="1281"/>
      <c r="F115" s="1317"/>
      <c r="G115" s="1316"/>
      <c r="H115" s="1281"/>
      <c r="I115" s="1321" t="s">
        <v>7</v>
      </c>
      <c r="J115" s="1322">
        <f>+J112+J113+J114</f>
        <v>6289</v>
      </c>
      <c r="K115" s="1269"/>
    </row>
    <row r="116" spans="2:11" ht="12.75">
      <c r="B116" s="1255"/>
      <c r="C116" s="1315" t="s">
        <v>404</v>
      </c>
      <c r="D116" s="1316">
        <f>+D103</f>
        <v>14</v>
      </c>
      <c r="E116" s="1281"/>
      <c r="F116" s="1319" t="s">
        <v>404</v>
      </c>
      <c r="G116" s="1316">
        <v>0</v>
      </c>
      <c r="H116" s="1281"/>
      <c r="I116" s="1319" t="s">
        <v>404</v>
      </c>
      <c r="J116" s="1316">
        <f aca="true" t="shared" si="7" ref="J116:J122">+D116+G116</f>
        <v>14</v>
      </c>
      <c r="K116" s="1269"/>
    </row>
    <row r="117" spans="2:11" ht="12.75">
      <c r="B117" s="1255"/>
      <c r="C117" s="1315" t="s">
        <v>406</v>
      </c>
      <c r="D117" s="1316">
        <f>+D104+9</f>
        <v>363</v>
      </c>
      <c r="E117" s="1281"/>
      <c r="F117" s="1319" t="s">
        <v>406</v>
      </c>
      <c r="G117" s="1316">
        <v>0</v>
      </c>
      <c r="H117" s="1281"/>
      <c r="I117" s="1319" t="s">
        <v>406</v>
      </c>
      <c r="J117" s="1316">
        <f t="shared" si="7"/>
        <v>363</v>
      </c>
      <c r="K117" s="1269"/>
    </row>
    <row r="118" spans="2:11" ht="12.75">
      <c r="B118" s="1255"/>
      <c r="C118" s="1315" t="s">
        <v>408</v>
      </c>
      <c r="D118" s="1316">
        <f>+D105+4</f>
        <v>-48</v>
      </c>
      <c r="E118" s="1281"/>
      <c r="F118" s="1319" t="s">
        <v>408</v>
      </c>
      <c r="G118" s="1316">
        <v>0</v>
      </c>
      <c r="H118" s="1281"/>
      <c r="I118" s="1319" t="s">
        <v>408</v>
      </c>
      <c r="J118" s="1316">
        <f t="shared" si="7"/>
        <v>-48</v>
      </c>
      <c r="K118" s="1269"/>
    </row>
    <row r="119" spans="2:11" ht="12.75">
      <c r="B119" s="1255"/>
      <c r="C119" s="1315" t="s">
        <v>9</v>
      </c>
      <c r="D119" s="1316">
        <f>+D106+7</f>
        <v>-19</v>
      </c>
      <c r="E119" s="1281"/>
      <c r="F119" s="1319" t="s">
        <v>9</v>
      </c>
      <c r="G119" s="1316">
        <v>0</v>
      </c>
      <c r="H119" s="1281"/>
      <c r="I119" s="1319" t="s">
        <v>9</v>
      </c>
      <c r="J119" s="1316">
        <f t="shared" si="7"/>
        <v>-19</v>
      </c>
      <c r="K119" s="1269"/>
    </row>
    <row r="120" spans="2:11" ht="12.75">
      <c r="B120" s="1255"/>
      <c r="C120" s="1315" t="s">
        <v>55</v>
      </c>
      <c r="D120" s="1316">
        <f>+D107</f>
        <v>37</v>
      </c>
      <c r="E120" s="1281"/>
      <c r="F120" s="1319" t="s">
        <v>55</v>
      </c>
      <c r="G120" s="1316">
        <v>0</v>
      </c>
      <c r="H120" s="1281"/>
      <c r="I120" s="1319" t="s">
        <v>55</v>
      </c>
      <c r="J120" s="1316">
        <f t="shared" si="7"/>
        <v>37</v>
      </c>
      <c r="K120" s="1269"/>
    </row>
    <row r="121" spans="2:11" ht="12.75">
      <c r="B121" s="1255"/>
      <c r="C121" s="1323" t="s">
        <v>403</v>
      </c>
      <c r="D121" s="1316">
        <f>+D122-D112-D113-D116-D117-D118-D119-D120</f>
        <v>-237</v>
      </c>
      <c r="E121" s="1281"/>
      <c r="F121" s="1319" t="s">
        <v>402</v>
      </c>
      <c r="G121" s="1316">
        <f>(+G112+G114)*-1</f>
        <v>219</v>
      </c>
      <c r="H121" s="1281"/>
      <c r="I121" s="1319" t="s">
        <v>410</v>
      </c>
      <c r="J121" s="1316">
        <f t="shared" si="7"/>
        <v>-18</v>
      </c>
      <c r="K121" s="1269"/>
    </row>
    <row r="122" spans="2:11" ht="12.75">
      <c r="B122" s="1255"/>
      <c r="C122" s="1324" t="s">
        <v>411</v>
      </c>
      <c r="D122" s="1325">
        <f>+D109+100</f>
        <v>6618</v>
      </c>
      <c r="E122" s="1295"/>
      <c r="F122" s="1326" t="s">
        <v>411</v>
      </c>
      <c r="G122" s="1325">
        <f>+SUM(G112:G121)</f>
        <v>0</v>
      </c>
      <c r="H122" s="1295"/>
      <c r="I122" s="1326" t="s">
        <v>411</v>
      </c>
      <c r="J122" s="1325">
        <f t="shared" si="7"/>
        <v>6618</v>
      </c>
      <c r="K122" s="1269"/>
    </row>
    <row r="123" spans="2:11" ht="12.75">
      <c r="B123" s="1255"/>
      <c r="C123" s="1300"/>
      <c r="D123" s="1295"/>
      <c r="E123" s="1295"/>
      <c r="F123" s="1300"/>
      <c r="G123" s="1295"/>
      <c r="H123" s="1295"/>
      <c r="I123" s="1300"/>
      <c r="J123" s="1295"/>
      <c r="K123" s="1269"/>
    </row>
    <row r="124" spans="2:11" ht="36" customHeight="1">
      <c r="B124" s="1255"/>
      <c r="C124" s="1562" t="s">
        <v>421</v>
      </c>
      <c r="D124" s="1562"/>
      <c r="E124" s="1562"/>
      <c r="F124" s="1562"/>
      <c r="G124" s="1562"/>
      <c r="H124" s="1562"/>
      <c r="I124" s="1562"/>
      <c r="J124" s="1562"/>
      <c r="K124" s="1269"/>
    </row>
    <row r="125" spans="2:11" ht="12.75">
      <c r="B125" s="1255"/>
      <c r="C125" s="1327" t="s">
        <v>415</v>
      </c>
      <c r="D125" s="1328"/>
      <c r="E125" s="1281"/>
      <c r="F125" s="1328"/>
      <c r="G125" s="1328"/>
      <c r="H125" s="1281"/>
      <c r="I125" s="1328"/>
      <c r="J125" s="1328"/>
      <c r="K125" s="1269"/>
    </row>
    <row r="126" spans="2:11" ht="20.25" customHeight="1">
      <c r="B126" s="1255"/>
      <c r="C126" s="1562" t="s">
        <v>422</v>
      </c>
      <c r="D126" s="1562"/>
      <c r="E126" s="1562"/>
      <c r="F126" s="1562"/>
      <c r="G126" s="1562"/>
      <c r="H126" s="1562"/>
      <c r="I126" s="1562"/>
      <c r="J126" s="1562"/>
      <c r="K126" s="1269"/>
    </row>
    <row r="127" spans="2:11" ht="12.75">
      <c r="B127" s="1329"/>
      <c r="C127" s="1330"/>
      <c r="D127" s="1330"/>
      <c r="E127" s="1330"/>
      <c r="F127" s="1330"/>
      <c r="G127" s="1330"/>
      <c r="H127" s="1330"/>
      <c r="I127" s="1330"/>
      <c r="J127" s="1330"/>
      <c r="K127" s="1331"/>
    </row>
    <row r="128" spans="2:11" ht="18">
      <c r="B128" s="1307"/>
      <c r="C128" s="1558" t="s">
        <v>418</v>
      </c>
      <c r="D128" s="1558"/>
      <c r="E128" s="1558"/>
      <c r="F128" s="1558"/>
      <c r="G128" s="1558"/>
      <c r="H128" s="1558"/>
      <c r="I128" s="1558"/>
      <c r="J128" s="1558"/>
      <c r="K128" s="1308"/>
    </row>
    <row r="129" spans="2:11" ht="15.75">
      <c r="B129" s="1255"/>
      <c r="C129" s="1557" t="s">
        <v>387</v>
      </c>
      <c r="D129" s="1557"/>
      <c r="E129" s="1264"/>
      <c r="F129" s="1264"/>
      <c r="G129" s="1265"/>
      <c r="H129" s="1264"/>
      <c r="I129" s="1557" t="s">
        <v>388</v>
      </c>
      <c r="J129" s="1557"/>
      <c r="K129" s="1269"/>
    </row>
    <row r="130" spans="2:11" ht="12.75">
      <c r="B130" s="1255"/>
      <c r="C130" s="1563" t="s">
        <v>419</v>
      </c>
      <c r="D130" s="1563"/>
      <c r="E130" s="1268"/>
      <c r="F130" s="1563" t="s">
        <v>391</v>
      </c>
      <c r="G130" s="1563"/>
      <c r="H130" s="1268"/>
      <c r="I130" s="1563" t="s">
        <v>420</v>
      </c>
      <c r="J130" s="1563"/>
      <c r="K130" s="1269"/>
    </row>
    <row r="131" spans="2:11" ht="12.75">
      <c r="B131" s="1255"/>
      <c r="C131" s="1271" t="s">
        <v>11</v>
      </c>
      <c r="D131" s="1272" t="s">
        <v>393</v>
      </c>
      <c r="E131" s="1273"/>
      <c r="F131" s="1273"/>
      <c r="G131" s="1272" t="s">
        <v>394</v>
      </c>
      <c r="H131" s="1273"/>
      <c r="I131" s="1273"/>
      <c r="J131" s="1272" t="s">
        <v>395</v>
      </c>
      <c r="K131" s="1269"/>
    </row>
    <row r="132" spans="2:11" ht="12.75">
      <c r="B132" s="1255"/>
      <c r="C132" s="1314" t="s">
        <v>416</v>
      </c>
      <c r="D132" s="1313"/>
      <c r="E132" s="1277"/>
      <c r="F132" s="1314" t="s">
        <v>416</v>
      </c>
      <c r="G132" s="1313"/>
      <c r="H132" s="1277"/>
      <c r="I132" s="1314" t="s">
        <v>416</v>
      </c>
      <c r="J132" s="1313"/>
      <c r="K132" s="1269"/>
    </row>
    <row r="133" spans="2:11" ht="12.75">
      <c r="B133" s="1255"/>
      <c r="C133" s="1317" t="s">
        <v>397</v>
      </c>
      <c r="D133" s="1316">
        <f>2293+78</f>
        <v>2371</v>
      </c>
      <c r="E133" s="1281"/>
      <c r="F133" s="1317" t="s">
        <v>397</v>
      </c>
      <c r="G133" s="1316">
        <f>-6+3</f>
        <v>-3</v>
      </c>
      <c r="H133" s="1281"/>
      <c r="I133" s="1318" t="s">
        <v>397</v>
      </c>
      <c r="J133" s="1316">
        <f>+D133+G133</f>
        <v>2368</v>
      </c>
      <c r="K133" s="1269"/>
    </row>
    <row r="134" spans="2:11" ht="12.75">
      <c r="B134" s="1255"/>
      <c r="C134" s="1317" t="s">
        <v>400</v>
      </c>
      <c r="D134" s="1316">
        <v>1874</v>
      </c>
      <c r="E134" s="1281"/>
      <c r="F134" s="1317" t="s">
        <v>400</v>
      </c>
      <c r="G134" s="1316">
        <v>0</v>
      </c>
      <c r="H134" s="1281"/>
      <c r="I134" s="1318" t="s">
        <v>400</v>
      </c>
      <c r="J134" s="1316">
        <f>+D134+G134</f>
        <v>1874</v>
      </c>
      <c r="K134" s="1269"/>
    </row>
    <row r="135" spans="2:11" ht="12.75">
      <c r="B135" s="1255"/>
      <c r="C135" s="1317"/>
      <c r="D135" s="1316"/>
      <c r="E135" s="1281"/>
      <c r="F135" s="1319" t="s">
        <v>402</v>
      </c>
      <c r="G135" s="1316">
        <f>-204-1</f>
        <v>-205</v>
      </c>
      <c r="H135" s="1281"/>
      <c r="I135" s="1320" t="s">
        <v>403</v>
      </c>
      <c r="J135" s="1316">
        <f>+D135+G135</f>
        <v>-205</v>
      </c>
      <c r="K135" s="1269"/>
    </row>
    <row r="136" spans="2:11" ht="12.75">
      <c r="B136" s="1255"/>
      <c r="C136" s="1317"/>
      <c r="D136" s="1316"/>
      <c r="E136" s="1281"/>
      <c r="F136" s="1317"/>
      <c r="G136" s="1316"/>
      <c r="H136" s="1281"/>
      <c r="I136" s="1321" t="s">
        <v>7</v>
      </c>
      <c r="J136" s="1322">
        <f>+J133+J134+J135</f>
        <v>4037</v>
      </c>
      <c r="K136" s="1269"/>
    </row>
    <row r="137" spans="2:11" ht="12.75">
      <c r="B137" s="1255"/>
      <c r="C137" s="1317" t="s">
        <v>404</v>
      </c>
      <c r="D137" s="1316">
        <v>-78</v>
      </c>
      <c r="E137" s="1281"/>
      <c r="F137" s="1319" t="s">
        <v>404</v>
      </c>
      <c r="G137" s="1316">
        <v>0</v>
      </c>
      <c r="H137" s="1281"/>
      <c r="I137" s="1319" t="s">
        <v>404</v>
      </c>
      <c r="J137" s="1316">
        <f aca="true" t="shared" si="8" ref="J137:J143">+D137+G137</f>
        <v>-78</v>
      </c>
      <c r="K137" s="1269"/>
    </row>
    <row r="138" spans="2:11" ht="12.75">
      <c r="B138" s="1255"/>
      <c r="C138" s="1317" t="s">
        <v>406</v>
      </c>
      <c r="D138" s="1316">
        <v>-78</v>
      </c>
      <c r="E138" s="1281"/>
      <c r="F138" s="1319" t="s">
        <v>406</v>
      </c>
      <c r="G138" s="1316">
        <v>0</v>
      </c>
      <c r="H138" s="1281"/>
      <c r="I138" s="1319" t="s">
        <v>406</v>
      </c>
      <c r="J138" s="1316">
        <f t="shared" si="8"/>
        <v>-78</v>
      </c>
      <c r="K138" s="1269"/>
    </row>
    <row r="139" spans="2:11" ht="12.75">
      <c r="B139" s="1255"/>
      <c r="C139" s="1317" t="s">
        <v>408</v>
      </c>
      <c r="D139" s="1316">
        <v>-79</v>
      </c>
      <c r="E139" s="1281"/>
      <c r="F139" s="1319" t="s">
        <v>408</v>
      </c>
      <c r="G139" s="1316">
        <v>0</v>
      </c>
      <c r="H139" s="1281"/>
      <c r="I139" s="1319" t="s">
        <v>408</v>
      </c>
      <c r="J139" s="1316">
        <f t="shared" si="8"/>
        <v>-79</v>
      </c>
      <c r="K139" s="1269"/>
    </row>
    <row r="140" spans="2:11" ht="12.75">
      <c r="B140" s="1255"/>
      <c r="C140" s="1317" t="s">
        <v>9</v>
      </c>
      <c r="D140" s="1316">
        <v>-35</v>
      </c>
      <c r="E140" s="1281"/>
      <c r="F140" s="1319" t="s">
        <v>9</v>
      </c>
      <c r="G140" s="1316">
        <v>0</v>
      </c>
      <c r="H140" s="1281"/>
      <c r="I140" s="1319" t="s">
        <v>9</v>
      </c>
      <c r="J140" s="1316">
        <f t="shared" si="8"/>
        <v>-35</v>
      </c>
      <c r="K140" s="1269"/>
    </row>
    <row r="141" spans="2:11" ht="12.75">
      <c r="B141" s="1255"/>
      <c r="C141" s="1317" t="s">
        <v>55</v>
      </c>
      <c r="D141" s="1316">
        <v>18</v>
      </c>
      <c r="E141" s="1281"/>
      <c r="F141" s="1319" t="s">
        <v>55</v>
      </c>
      <c r="G141" s="1316">
        <v>0</v>
      </c>
      <c r="H141" s="1281"/>
      <c r="I141" s="1319" t="s">
        <v>55</v>
      </c>
      <c r="J141" s="1316">
        <f t="shared" si="8"/>
        <v>18</v>
      </c>
      <c r="K141" s="1269"/>
    </row>
    <row r="142" spans="2:11" ht="12.75">
      <c r="B142" s="1255"/>
      <c r="C142" s="1319" t="s">
        <v>403</v>
      </c>
      <c r="D142" s="1316">
        <f>+D143-D133-D134-D137-D138-D139-D140-D141</f>
        <v>-192</v>
      </c>
      <c r="E142" s="1281"/>
      <c r="F142" s="1319" t="s">
        <v>402</v>
      </c>
      <c r="G142" s="1316">
        <f>(+G133+G135)*-1</f>
        <v>208</v>
      </c>
      <c r="H142" s="1281"/>
      <c r="I142" s="1319" t="s">
        <v>410</v>
      </c>
      <c r="J142" s="1316">
        <f t="shared" si="8"/>
        <v>16</v>
      </c>
      <c r="K142" s="1269"/>
    </row>
    <row r="143" spans="2:11" ht="12.75">
      <c r="B143" s="1255"/>
      <c r="C143" s="1326" t="s">
        <v>411</v>
      </c>
      <c r="D143" s="1325">
        <v>3801</v>
      </c>
      <c r="E143" s="1295"/>
      <c r="F143" s="1326" t="s">
        <v>411</v>
      </c>
      <c r="G143" s="1325">
        <f>+SUM(G133:G142)</f>
        <v>0</v>
      </c>
      <c r="H143" s="1295"/>
      <c r="I143" s="1326" t="s">
        <v>411</v>
      </c>
      <c r="J143" s="1325">
        <f t="shared" si="8"/>
        <v>3801</v>
      </c>
      <c r="K143" s="1269"/>
    </row>
    <row r="144" spans="2:11" ht="12.75">
      <c r="B144" s="1255"/>
      <c r="C144" s="1298"/>
      <c r="D144" s="1298"/>
      <c r="E144" s="1271"/>
      <c r="F144" s="1271"/>
      <c r="G144" s="1271"/>
      <c r="H144" s="1271"/>
      <c r="I144" s="1271"/>
      <c r="J144" s="1271"/>
      <c r="K144" s="1269"/>
    </row>
    <row r="145" spans="2:11" ht="12.75">
      <c r="B145" s="1255"/>
      <c r="C145" s="1314" t="s">
        <v>417</v>
      </c>
      <c r="D145" s="1313"/>
      <c r="E145" s="1277"/>
      <c r="F145" s="1314" t="s">
        <v>417</v>
      </c>
      <c r="G145" s="1313"/>
      <c r="H145" s="1277"/>
      <c r="I145" s="1314" t="s">
        <v>417</v>
      </c>
      <c r="J145" s="1313"/>
      <c r="K145" s="1269"/>
    </row>
    <row r="146" spans="2:11" ht="12.75">
      <c r="B146" s="1255"/>
      <c r="C146" s="1317" t="s">
        <v>397</v>
      </c>
      <c r="D146" s="1316">
        <f>+D133+50</f>
        <v>2421</v>
      </c>
      <c r="E146" s="1281"/>
      <c r="F146" s="1317" t="s">
        <v>397</v>
      </c>
      <c r="G146" s="1316">
        <v>-3</v>
      </c>
      <c r="H146" s="1281"/>
      <c r="I146" s="1318" t="s">
        <v>397</v>
      </c>
      <c r="J146" s="1316">
        <f>+D146+G146</f>
        <v>2418</v>
      </c>
      <c r="K146" s="1269"/>
    </row>
    <row r="147" spans="2:11" ht="12.75">
      <c r="B147" s="1255"/>
      <c r="C147" s="1317" t="s">
        <v>400</v>
      </c>
      <c r="D147" s="1316">
        <f>+D134+17</f>
        <v>1891</v>
      </c>
      <c r="E147" s="1281"/>
      <c r="F147" s="1317" t="s">
        <v>400</v>
      </c>
      <c r="G147" s="1316">
        <v>0</v>
      </c>
      <c r="H147" s="1281"/>
      <c r="I147" s="1318" t="s">
        <v>400</v>
      </c>
      <c r="J147" s="1316">
        <f>+D147+G147</f>
        <v>1891</v>
      </c>
      <c r="K147" s="1269"/>
    </row>
    <row r="148" spans="2:11" ht="12.75">
      <c r="B148" s="1255"/>
      <c r="C148" s="1317"/>
      <c r="D148" s="1316"/>
      <c r="E148" s="1281"/>
      <c r="F148" s="1319" t="s">
        <v>402</v>
      </c>
      <c r="G148" s="1316">
        <f>+G135-111</f>
        <v>-316</v>
      </c>
      <c r="H148" s="1281"/>
      <c r="I148" s="1320" t="s">
        <v>403</v>
      </c>
      <c r="J148" s="1316">
        <f>+D148+G148</f>
        <v>-316</v>
      </c>
      <c r="K148" s="1269"/>
    </row>
    <row r="149" spans="2:11" ht="12.75">
      <c r="B149" s="1255"/>
      <c r="C149" s="1317"/>
      <c r="D149" s="1316"/>
      <c r="E149" s="1281"/>
      <c r="F149" s="1317"/>
      <c r="G149" s="1316"/>
      <c r="H149" s="1281"/>
      <c r="I149" s="1321" t="s">
        <v>7</v>
      </c>
      <c r="J149" s="1322">
        <f>+J146+J147+J148</f>
        <v>3993</v>
      </c>
      <c r="K149" s="1269"/>
    </row>
    <row r="150" spans="2:11" ht="12.75">
      <c r="B150" s="1255"/>
      <c r="C150" s="1317" t="s">
        <v>404</v>
      </c>
      <c r="D150" s="1316">
        <f>+D137</f>
        <v>-78</v>
      </c>
      <c r="E150" s="1281"/>
      <c r="F150" s="1319" t="s">
        <v>404</v>
      </c>
      <c r="G150" s="1316">
        <v>0</v>
      </c>
      <c r="H150" s="1281"/>
      <c r="I150" s="1319" t="s">
        <v>404</v>
      </c>
      <c r="J150" s="1316">
        <f aca="true" t="shared" si="9" ref="J150:J156">+D150+G150</f>
        <v>-78</v>
      </c>
      <c r="K150" s="1269"/>
    </row>
    <row r="151" spans="2:11" ht="12.75">
      <c r="B151" s="1255"/>
      <c r="C151" s="1317" t="s">
        <v>406</v>
      </c>
      <c r="D151" s="1316">
        <f>+D138+9</f>
        <v>-69</v>
      </c>
      <c r="E151" s="1281"/>
      <c r="F151" s="1319" t="s">
        <v>406</v>
      </c>
      <c r="G151" s="1316">
        <v>0</v>
      </c>
      <c r="H151" s="1281"/>
      <c r="I151" s="1319" t="s">
        <v>406</v>
      </c>
      <c r="J151" s="1316">
        <f t="shared" si="9"/>
        <v>-69</v>
      </c>
      <c r="K151" s="1269"/>
    </row>
    <row r="152" spans="2:11" ht="12.75">
      <c r="B152" s="1255"/>
      <c r="C152" s="1317" t="s">
        <v>408</v>
      </c>
      <c r="D152" s="1316">
        <f>+D139+5</f>
        <v>-74</v>
      </c>
      <c r="E152" s="1281"/>
      <c r="F152" s="1319" t="s">
        <v>408</v>
      </c>
      <c r="G152" s="1316">
        <v>0</v>
      </c>
      <c r="H152" s="1281"/>
      <c r="I152" s="1319" t="s">
        <v>408</v>
      </c>
      <c r="J152" s="1316">
        <f t="shared" si="9"/>
        <v>-74</v>
      </c>
      <c r="K152" s="1269"/>
    </row>
    <row r="153" spans="2:11" ht="12.75">
      <c r="B153" s="1255"/>
      <c r="C153" s="1317" t="s">
        <v>9</v>
      </c>
      <c r="D153" s="1316">
        <f>+D140+7</f>
        <v>-28</v>
      </c>
      <c r="E153" s="1281"/>
      <c r="F153" s="1319" t="s">
        <v>9</v>
      </c>
      <c r="G153" s="1316">
        <v>0</v>
      </c>
      <c r="H153" s="1281"/>
      <c r="I153" s="1319" t="s">
        <v>9</v>
      </c>
      <c r="J153" s="1316">
        <f t="shared" si="9"/>
        <v>-28</v>
      </c>
      <c r="K153" s="1269"/>
    </row>
    <row r="154" spans="2:11" ht="12.75">
      <c r="B154" s="1255"/>
      <c r="C154" s="1317" t="s">
        <v>55</v>
      </c>
      <c r="D154" s="1316">
        <f>+D141</f>
        <v>18</v>
      </c>
      <c r="E154" s="1281"/>
      <c r="F154" s="1319" t="s">
        <v>55</v>
      </c>
      <c r="G154" s="1316">
        <v>0</v>
      </c>
      <c r="H154" s="1281"/>
      <c r="I154" s="1319" t="s">
        <v>55</v>
      </c>
      <c r="J154" s="1316">
        <f t="shared" si="9"/>
        <v>18</v>
      </c>
      <c r="K154" s="1269"/>
    </row>
    <row r="155" spans="2:11" ht="12.75">
      <c r="B155" s="1255"/>
      <c r="C155" s="1319" t="s">
        <v>403</v>
      </c>
      <c r="D155" s="1316">
        <f>+D156-D146-D147-D150-D151-D152-D153-D154</f>
        <v>-306</v>
      </c>
      <c r="E155" s="1281"/>
      <c r="F155" s="1319" t="s">
        <v>402</v>
      </c>
      <c r="G155" s="1316">
        <f>(+G146+G148)*-1</f>
        <v>319</v>
      </c>
      <c r="H155" s="1281"/>
      <c r="I155" s="1319" t="s">
        <v>410</v>
      </c>
      <c r="J155" s="1316">
        <f t="shared" si="9"/>
        <v>13</v>
      </c>
      <c r="K155" s="1269"/>
    </row>
    <row r="156" spans="2:11" ht="12.75">
      <c r="B156" s="1255"/>
      <c r="C156" s="1326" t="s">
        <v>411</v>
      </c>
      <c r="D156" s="1325">
        <f>+D143-26</f>
        <v>3775</v>
      </c>
      <c r="E156" s="1295"/>
      <c r="F156" s="1326" t="s">
        <v>411</v>
      </c>
      <c r="G156" s="1325">
        <f>+SUM(G146:G155)</f>
        <v>0</v>
      </c>
      <c r="H156" s="1295"/>
      <c r="I156" s="1326" t="s">
        <v>411</v>
      </c>
      <c r="J156" s="1325">
        <f t="shared" si="9"/>
        <v>3775</v>
      </c>
      <c r="K156" s="1269"/>
    </row>
    <row r="157" spans="2:13" ht="12.75">
      <c r="B157" s="1255"/>
      <c r="C157" s="1298"/>
      <c r="D157" s="1298"/>
      <c r="E157" s="1271"/>
      <c r="F157" s="1271"/>
      <c r="G157" s="1271"/>
      <c r="H157" s="1271"/>
      <c r="I157" s="1271"/>
      <c r="J157" s="1271"/>
      <c r="K157" s="1269"/>
      <c r="M157" s="1332"/>
    </row>
    <row r="158" spans="2:13" s="1332" customFormat="1" ht="25.5" customHeight="1">
      <c r="B158" s="1270"/>
      <c r="C158" s="1562" t="s">
        <v>423</v>
      </c>
      <c r="D158" s="1562"/>
      <c r="E158" s="1562"/>
      <c r="F158" s="1562"/>
      <c r="G158" s="1562"/>
      <c r="H158" s="1562"/>
      <c r="I158" s="1562"/>
      <c r="J158" s="1562"/>
      <c r="K158" s="1274"/>
      <c r="M158" s="1254"/>
    </row>
    <row r="159" spans="2:11" ht="16.5" customHeight="1">
      <c r="B159" s="1255"/>
      <c r="C159" s="1327" t="s">
        <v>415</v>
      </c>
      <c r="D159" s="1328"/>
      <c r="E159" s="1281"/>
      <c r="F159" s="1328"/>
      <c r="G159" s="1328"/>
      <c r="H159" s="1281"/>
      <c r="I159" s="1328"/>
      <c r="J159" s="1328"/>
      <c r="K159" s="1269"/>
    </row>
    <row r="160" spans="2:13" ht="22.5" customHeight="1">
      <c r="B160" s="1255"/>
      <c r="C160" s="1562" t="s">
        <v>422</v>
      </c>
      <c r="D160" s="1562"/>
      <c r="E160" s="1562"/>
      <c r="F160" s="1562"/>
      <c r="G160" s="1562"/>
      <c r="H160" s="1562"/>
      <c r="I160" s="1562"/>
      <c r="J160" s="1562"/>
      <c r="K160" s="1269"/>
      <c r="M160" s="1333"/>
    </row>
    <row r="161" spans="2:13" s="1333" customFormat="1" ht="12.75">
      <c r="B161" s="1334"/>
      <c r="C161" s="1335"/>
      <c r="D161" s="1335"/>
      <c r="E161" s="1335"/>
      <c r="F161" s="1335"/>
      <c r="G161" s="1335"/>
      <c r="H161" s="1335"/>
      <c r="I161" s="1335"/>
      <c r="J161" s="1335"/>
      <c r="K161" s="1336"/>
      <c r="M161" s="1254"/>
    </row>
    <row r="162" spans="2:11" ht="18">
      <c r="B162" s="1307"/>
      <c r="C162" s="1558" t="s">
        <v>424</v>
      </c>
      <c r="D162" s="1558"/>
      <c r="E162" s="1558"/>
      <c r="F162" s="1558"/>
      <c r="G162" s="1558"/>
      <c r="H162" s="1558"/>
      <c r="I162" s="1558"/>
      <c r="J162" s="1558"/>
      <c r="K162" s="1308"/>
    </row>
    <row r="163" spans="2:11" ht="15.75">
      <c r="B163" s="1255"/>
      <c r="C163" s="1557" t="s">
        <v>387</v>
      </c>
      <c r="D163" s="1557"/>
      <c r="E163" s="1264"/>
      <c r="F163" s="1264"/>
      <c r="G163" s="1265"/>
      <c r="H163" s="1264"/>
      <c r="I163" s="1557" t="s">
        <v>388</v>
      </c>
      <c r="J163" s="1557"/>
      <c r="K163" s="1269"/>
    </row>
    <row r="164" spans="2:11" ht="12.75">
      <c r="B164" s="1255"/>
      <c r="C164" s="1560" t="s">
        <v>425</v>
      </c>
      <c r="D164" s="1561"/>
      <c r="E164" s="1268"/>
      <c r="F164" s="1560" t="s">
        <v>391</v>
      </c>
      <c r="G164" s="1561"/>
      <c r="H164" s="1268"/>
      <c r="I164" s="1560" t="s">
        <v>426</v>
      </c>
      <c r="J164" s="1561"/>
      <c r="K164" s="1269"/>
    </row>
    <row r="165" spans="2:11" ht="12.75">
      <c r="B165" s="1255"/>
      <c r="C165" s="1271" t="s">
        <v>11</v>
      </c>
      <c r="D165" s="1272" t="s">
        <v>393</v>
      </c>
      <c r="E165" s="1273"/>
      <c r="F165" s="1273"/>
      <c r="G165" s="1272" t="s">
        <v>394</v>
      </c>
      <c r="H165" s="1273"/>
      <c r="I165" s="1273"/>
      <c r="J165" s="1272" t="s">
        <v>395</v>
      </c>
      <c r="K165" s="1269"/>
    </row>
    <row r="166" spans="2:11" ht="12.75">
      <c r="B166" s="1255"/>
      <c r="C166" s="1275" t="s">
        <v>0</v>
      </c>
      <c r="D166" s="1276"/>
      <c r="E166" s="1277"/>
      <c r="F166" s="1275" t="s">
        <v>0</v>
      </c>
      <c r="G166" s="1276"/>
      <c r="H166" s="1277"/>
      <c r="I166" s="1275" t="s">
        <v>0</v>
      </c>
      <c r="J166" s="1276"/>
      <c r="K166" s="1269"/>
    </row>
    <row r="167" spans="2:11" ht="12.75">
      <c r="B167" s="1255"/>
      <c r="C167" s="1279" t="s">
        <v>397</v>
      </c>
      <c r="D167" s="1280">
        <f>13295-662</f>
        <v>12633</v>
      </c>
      <c r="E167" s="1281"/>
      <c r="F167" s="1279" t="s">
        <v>398</v>
      </c>
      <c r="G167" s="1280">
        <f>67+7</f>
        <v>74</v>
      </c>
      <c r="H167" s="1281"/>
      <c r="I167" s="1282" t="s">
        <v>397</v>
      </c>
      <c r="J167" s="1280">
        <f>+D167+G167</f>
        <v>12707</v>
      </c>
      <c r="K167" s="1269"/>
    </row>
    <row r="168" spans="2:11" ht="12.75">
      <c r="B168" s="1255"/>
      <c r="C168" s="1279" t="s">
        <v>400</v>
      </c>
      <c r="D168" s="1280">
        <v>7565</v>
      </c>
      <c r="E168" s="1281"/>
      <c r="F168" s="1279" t="s">
        <v>400</v>
      </c>
      <c r="G168" s="1280">
        <v>0</v>
      </c>
      <c r="H168" s="1281"/>
      <c r="I168" s="1282" t="s">
        <v>400</v>
      </c>
      <c r="J168" s="1280">
        <f>+D168+G168</f>
        <v>7565</v>
      </c>
      <c r="K168" s="1269"/>
    </row>
    <row r="169" spans="2:11" ht="12.75">
      <c r="B169" s="1255"/>
      <c r="C169" s="1279"/>
      <c r="D169" s="1280"/>
      <c r="E169" s="1281"/>
      <c r="F169" s="1285" t="s">
        <v>402</v>
      </c>
      <c r="G169" s="1280">
        <f>-2056+1007</f>
        <v>-1049</v>
      </c>
      <c r="H169" s="1281"/>
      <c r="I169" s="1286" t="s">
        <v>403</v>
      </c>
      <c r="J169" s="1280">
        <f>+D169+G169</f>
        <v>-1049</v>
      </c>
      <c r="K169" s="1269"/>
    </row>
    <row r="170" spans="2:11" ht="12.75">
      <c r="B170" s="1255"/>
      <c r="C170" s="1279"/>
      <c r="D170" s="1280"/>
      <c r="E170" s="1281"/>
      <c r="F170" s="1279"/>
      <c r="G170" s="1280"/>
      <c r="H170" s="1281"/>
      <c r="I170" s="1287" t="s">
        <v>7</v>
      </c>
      <c r="J170" s="1288">
        <f>+J167+J168+J169</f>
        <v>19223</v>
      </c>
      <c r="K170" s="1269"/>
    </row>
    <row r="171" spans="2:11" ht="12.75">
      <c r="B171" s="1255"/>
      <c r="C171" s="1279" t="s">
        <v>404</v>
      </c>
      <c r="D171" s="1280">
        <v>662</v>
      </c>
      <c r="E171" s="1281"/>
      <c r="F171" s="1285" t="s">
        <v>404</v>
      </c>
      <c r="G171" s="1280">
        <v>0</v>
      </c>
      <c r="H171" s="1281"/>
      <c r="I171" s="1285" t="s">
        <v>404</v>
      </c>
      <c r="J171" s="1280">
        <f aca="true" t="shared" si="10" ref="J171:J177">+D171+G171</f>
        <v>662</v>
      </c>
      <c r="K171" s="1269"/>
    </row>
    <row r="172" spans="2:11" ht="12.75">
      <c r="B172" s="1255"/>
      <c r="C172" s="1279" t="s">
        <v>406</v>
      </c>
      <c r="D172" s="1280">
        <v>2792</v>
      </c>
      <c r="E172" s="1281"/>
      <c r="F172" s="1285" t="s">
        <v>406</v>
      </c>
      <c r="G172" s="1280">
        <v>0</v>
      </c>
      <c r="H172" s="1281"/>
      <c r="I172" s="1285" t="s">
        <v>406</v>
      </c>
      <c r="J172" s="1280">
        <f t="shared" si="10"/>
        <v>2792</v>
      </c>
      <c r="K172" s="1269"/>
    </row>
    <row r="173" spans="2:11" ht="12.75">
      <c r="B173" s="1255"/>
      <c r="C173" s="1279" t="s">
        <v>408</v>
      </c>
      <c r="D173" s="1280">
        <v>136</v>
      </c>
      <c r="E173" s="1281"/>
      <c r="F173" s="1285" t="s">
        <v>408</v>
      </c>
      <c r="G173" s="1280">
        <v>0</v>
      </c>
      <c r="H173" s="1281"/>
      <c r="I173" s="1285" t="s">
        <v>408</v>
      </c>
      <c r="J173" s="1280">
        <f t="shared" si="10"/>
        <v>136</v>
      </c>
      <c r="K173" s="1269"/>
    </row>
    <row r="174" spans="2:11" ht="12.75">
      <c r="B174" s="1255"/>
      <c r="C174" s="1279" t="s">
        <v>9</v>
      </c>
      <c r="D174" s="1280">
        <v>298</v>
      </c>
      <c r="E174" s="1281"/>
      <c r="F174" s="1285" t="s">
        <v>9</v>
      </c>
      <c r="G174" s="1280">
        <v>0</v>
      </c>
      <c r="H174" s="1281"/>
      <c r="I174" s="1285" t="s">
        <v>9</v>
      </c>
      <c r="J174" s="1280">
        <f t="shared" si="10"/>
        <v>298</v>
      </c>
      <c r="K174" s="1269"/>
    </row>
    <row r="175" spans="2:11" ht="12.75">
      <c r="B175" s="1255"/>
      <c r="C175" s="1279" t="s">
        <v>55</v>
      </c>
      <c r="D175" s="1280">
        <v>142</v>
      </c>
      <c r="E175" s="1281"/>
      <c r="F175" s="1285" t="s">
        <v>55</v>
      </c>
      <c r="G175" s="1280">
        <v>0</v>
      </c>
      <c r="H175" s="1281"/>
      <c r="I175" s="1285" t="s">
        <v>55</v>
      </c>
      <c r="J175" s="1280">
        <f t="shared" si="10"/>
        <v>142</v>
      </c>
      <c r="K175" s="1269"/>
    </row>
    <row r="176" spans="2:11" ht="12.75">
      <c r="B176" s="1255"/>
      <c r="C176" s="1285" t="s">
        <v>403</v>
      </c>
      <c r="D176" s="1280">
        <f>+D177-D167-D168-D171-D172-D173-D174-D175</f>
        <v>-1124</v>
      </c>
      <c r="E176" s="1281"/>
      <c r="F176" s="1285" t="s">
        <v>402</v>
      </c>
      <c r="G176" s="1280">
        <f>(+G167+G169)*-1</f>
        <v>975</v>
      </c>
      <c r="H176" s="1281"/>
      <c r="I176" s="1285" t="s">
        <v>410</v>
      </c>
      <c r="J176" s="1280">
        <f t="shared" si="10"/>
        <v>-149</v>
      </c>
      <c r="K176" s="1269"/>
    </row>
    <row r="177" spans="2:11" ht="12.75">
      <c r="B177" s="1255"/>
      <c r="C177" s="1293" t="s">
        <v>411</v>
      </c>
      <c r="D177" s="1294">
        <v>23104</v>
      </c>
      <c r="E177" s="1295"/>
      <c r="F177" s="1293" t="s">
        <v>411</v>
      </c>
      <c r="G177" s="1294">
        <f>+SUM(G167:G176)</f>
        <v>0</v>
      </c>
      <c r="H177" s="1295"/>
      <c r="I177" s="1293" t="s">
        <v>411</v>
      </c>
      <c r="J177" s="1294">
        <f t="shared" si="10"/>
        <v>23104</v>
      </c>
      <c r="K177" s="1269"/>
    </row>
    <row r="178" spans="2:11" ht="12.75">
      <c r="B178" s="1255"/>
      <c r="C178" s="1297"/>
      <c r="D178" s="1297"/>
      <c r="E178" s="1281"/>
      <c r="F178" s="1297"/>
      <c r="G178" s="1297"/>
      <c r="H178" s="1281"/>
      <c r="I178" s="1297"/>
      <c r="J178" s="1297"/>
      <c r="K178" s="1269"/>
    </row>
    <row r="179" spans="2:11" ht="12.75">
      <c r="B179" s="1255"/>
      <c r="C179" s="1275" t="s">
        <v>412</v>
      </c>
      <c r="D179" s="1276"/>
      <c r="E179" s="1277"/>
      <c r="F179" s="1275" t="s">
        <v>412</v>
      </c>
      <c r="G179" s="1276"/>
      <c r="H179" s="1277"/>
      <c r="I179" s="1275" t="s">
        <v>412</v>
      </c>
      <c r="J179" s="1276"/>
      <c r="K179" s="1269"/>
    </row>
    <row r="180" spans="2:11" ht="12.75">
      <c r="B180" s="1255"/>
      <c r="C180" s="1279" t="s">
        <v>397</v>
      </c>
      <c r="D180" s="1280">
        <f>5747-40</f>
        <v>5707</v>
      </c>
      <c r="E180" s="1281"/>
      <c r="F180" s="1279" t="s">
        <v>397</v>
      </c>
      <c r="G180" s="1280">
        <v>3</v>
      </c>
      <c r="H180" s="1281"/>
      <c r="I180" s="1282" t="s">
        <v>397</v>
      </c>
      <c r="J180" s="1280">
        <f>+D180+G180</f>
        <v>5710</v>
      </c>
      <c r="K180" s="1269"/>
    </row>
    <row r="181" spans="2:11" ht="12.75">
      <c r="B181" s="1255"/>
      <c r="C181" s="1279" t="s">
        <v>400</v>
      </c>
      <c r="D181" s="1280">
        <v>3859</v>
      </c>
      <c r="E181" s="1281"/>
      <c r="F181" s="1279" t="s">
        <v>400</v>
      </c>
      <c r="G181" s="1280">
        <v>0</v>
      </c>
      <c r="H181" s="1281"/>
      <c r="I181" s="1282" t="s">
        <v>400</v>
      </c>
      <c r="J181" s="1280">
        <f>+D181+G181</f>
        <v>3859</v>
      </c>
      <c r="K181" s="1269"/>
    </row>
    <row r="182" spans="2:11" ht="12.75">
      <c r="B182" s="1255"/>
      <c r="C182" s="1279"/>
      <c r="D182" s="1280"/>
      <c r="E182" s="1281"/>
      <c r="F182" s="1285" t="s">
        <v>402</v>
      </c>
      <c r="G182" s="1280">
        <f>-345-4</f>
        <v>-349</v>
      </c>
      <c r="H182" s="1281"/>
      <c r="I182" s="1286" t="s">
        <v>403</v>
      </c>
      <c r="J182" s="1280">
        <f>+D182+G182</f>
        <v>-349</v>
      </c>
      <c r="K182" s="1269"/>
    </row>
    <row r="183" spans="2:11" ht="12.75">
      <c r="B183" s="1255"/>
      <c r="C183" s="1279"/>
      <c r="D183" s="1280"/>
      <c r="E183" s="1281"/>
      <c r="F183" s="1279"/>
      <c r="G183" s="1280"/>
      <c r="H183" s="1281"/>
      <c r="I183" s="1287" t="s">
        <v>7</v>
      </c>
      <c r="J183" s="1288">
        <f>+J180+J181+J182</f>
        <v>9220</v>
      </c>
      <c r="K183" s="1269"/>
    </row>
    <row r="184" spans="2:11" ht="12.75">
      <c r="B184" s="1255"/>
      <c r="C184" s="1279" t="s">
        <v>404</v>
      </c>
      <c r="D184" s="1280">
        <v>40</v>
      </c>
      <c r="E184" s="1281"/>
      <c r="F184" s="1285" t="s">
        <v>404</v>
      </c>
      <c r="G184" s="1280">
        <v>0</v>
      </c>
      <c r="H184" s="1281"/>
      <c r="I184" s="1285" t="s">
        <v>404</v>
      </c>
      <c r="J184" s="1280">
        <f aca="true" t="shared" si="11" ref="J184:J190">+D184+G184</f>
        <v>40</v>
      </c>
      <c r="K184" s="1269"/>
    </row>
    <row r="185" spans="2:11" ht="12.75">
      <c r="B185" s="1255"/>
      <c r="C185" s="1279" t="s">
        <v>406</v>
      </c>
      <c r="D185" s="1280">
        <v>604</v>
      </c>
      <c r="E185" s="1281"/>
      <c r="F185" s="1285" t="s">
        <v>406</v>
      </c>
      <c r="G185" s="1280">
        <v>0</v>
      </c>
      <c r="H185" s="1281"/>
      <c r="I185" s="1285" t="s">
        <v>406</v>
      </c>
      <c r="J185" s="1280">
        <f t="shared" si="11"/>
        <v>604</v>
      </c>
      <c r="K185" s="1269"/>
    </row>
    <row r="186" spans="2:11" ht="12.75">
      <c r="B186" s="1255"/>
      <c r="C186" s="1279" t="s">
        <v>408</v>
      </c>
      <c r="D186" s="1280">
        <v>-71</v>
      </c>
      <c r="E186" s="1281"/>
      <c r="F186" s="1285" t="s">
        <v>408</v>
      </c>
      <c r="G186" s="1280">
        <v>0</v>
      </c>
      <c r="H186" s="1281"/>
      <c r="I186" s="1285" t="s">
        <v>408</v>
      </c>
      <c r="J186" s="1280">
        <f t="shared" si="11"/>
        <v>-71</v>
      </c>
      <c r="K186" s="1269"/>
    </row>
    <row r="187" spans="2:11" ht="12.75">
      <c r="B187" s="1255"/>
      <c r="C187" s="1279" t="s">
        <v>9</v>
      </c>
      <c r="D187" s="1280">
        <v>-36</v>
      </c>
      <c r="E187" s="1281"/>
      <c r="F187" s="1285" t="s">
        <v>9</v>
      </c>
      <c r="G187" s="1280">
        <v>0</v>
      </c>
      <c r="H187" s="1281"/>
      <c r="I187" s="1285" t="s">
        <v>9</v>
      </c>
      <c r="J187" s="1280">
        <f t="shared" si="11"/>
        <v>-36</v>
      </c>
      <c r="K187" s="1269"/>
    </row>
    <row r="188" spans="2:11" ht="12.75">
      <c r="B188" s="1255"/>
      <c r="C188" s="1279" t="s">
        <v>55</v>
      </c>
      <c r="D188" s="1280">
        <v>59</v>
      </c>
      <c r="E188" s="1281"/>
      <c r="F188" s="1285" t="s">
        <v>55</v>
      </c>
      <c r="G188" s="1280">
        <v>0</v>
      </c>
      <c r="H188" s="1281"/>
      <c r="I188" s="1285" t="s">
        <v>55</v>
      </c>
      <c r="J188" s="1280">
        <f t="shared" si="11"/>
        <v>59</v>
      </c>
      <c r="K188" s="1269"/>
    </row>
    <row r="189" spans="2:11" ht="12.75">
      <c r="B189" s="1255"/>
      <c r="C189" s="1285" t="s">
        <v>403</v>
      </c>
      <c r="D189" s="1280">
        <f>+D190-D180-D181-D184-D185-D186-D187-D188</f>
        <v>-376</v>
      </c>
      <c r="E189" s="1281"/>
      <c r="F189" s="1285" t="s">
        <v>402</v>
      </c>
      <c r="G189" s="1280">
        <f>(+G180+G182)*-1</f>
        <v>346</v>
      </c>
      <c r="H189" s="1281"/>
      <c r="I189" s="1285" t="s">
        <v>410</v>
      </c>
      <c r="J189" s="1280">
        <f t="shared" si="11"/>
        <v>-30</v>
      </c>
      <c r="K189" s="1269"/>
    </row>
    <row r="190" spans="2:11" ht="12.75">
      <c r="B190" s="1255"/>
      <c r="C190" s="1293" t="s">
        <v>411</v>
      </c>
      <c r="D190" s="1294">
        <v>9786</v>
      </c>
      <c r="E190" s="1295"/>
      <c r="F190" s="1293" t="s">
        <v>411</v>
      </c>
      <c r="G190" s="1294">
        <f>+SUM(G180:G189)</f>
        <v>0</v>
      </c>
      <c r="H190" s="1295"/>
      <c r="I190" s="1293" t="s">
        <v>411</v>
      </c>
      <c r="J190" s="1294">
        <f t="shared" si="11"/>
        <v>9786</v>
      </c>
      <c r="K190" s="1269"/>
    </row>
    <row r="191" spans="2:11" ht="12.75">
      <c r="B191" s="1255"/>
      <c r="C191" s="1298"/>
      <c r="D191" s="1298"/>
      <c r="E191" s="1271"/>
      <c r="F191" s="1271"/>
      <c r="G191" s="1271"/>
      <c r="H191" s="1271"/>
      <c r="I191" s="1271"/>
      <c r="J191" s="1271"/>
      <c r="K191" s="1269"/>
    </row>
    <row r="192" spans="2:11" ht="12.75">
      <c r="B192" s="1255"/>
      <c r="C192" s="1275" t="s">
        <v>413</v>
      </c>
      <c r="D192" s="1276"/>
      <c r="E192" s="1277"/>
      <c r="F192" s="1275" t="s">
        <v>413</v>
      </c>
      <c r="G192" s="1276"/>
      <c r="H192" s="1277"/>
      <c r="I192" s="1275" t="s">
        <v>413</v>
      </c>
      <c r="J192" s="1276"/>
      <c r="K192" s="1269"/>
    </row>
    <row r="193" spans="2:11" ht="12.75">
      <c r="B193" s="1255"/>
      <c r="C193" s="1279" t="s">
        <v>397</v>
      </c>
      <c r="D193" s="1280">
        <f>+D180+60</f>
        <v>5767</v>
      </c>
      <c r="E193" s="1281"/>
      <c r="F193" s="1279" t="s">
        <v>397</v>
      </c>
      <c r="G193" s="1280">
        <v>3</v>
      </c>
      <c r="H193" s="1281"/>
      <c r="I193" s="1282" t="s">
        <v>397</v>
      </c>
      <c r="J193" s="1280">
        <f>+D193+G193</f>
        <v>5770</v>
      </c>
      <c r="K193" s="1269"/>
    </row>
    <row r="194" spans="2:11" ht="12.75">
      <c r="B194" s="1255"/>
      <c r="C194" s="1279" t="s">
        <v>400</v>
      </c>
      <c r="D194" s="1280">
        <f>+D181+16</f>
        <v>3875</v>
      </c>
      <c r="E194" s="1281"/>
      <c r="F194" s="1279" t="s">
        <v>400</v>
      </c>
      <c r="G194" s="1280">
        <v>0</v>
      </c>
      <c r="H194" s="1281"/>
      <c r="I194" s="1282" t="s">
        <v>400</v>
      </c>
      <c r="J194" s="1280">
        <f>+D194+G194</f>
        <v>3875</v>
      </c>
      <c r="K194" s="1269"/>
    </row>
    <row r="195" spans="2:11" ht="12.75">
      <c r="B195" s="1255"/>
      <c r="C195" s="1279"/>
      <c r="D195" s="1280"/>
      <c r="E195" s="1281"/>
      <c r="F195" s="1285" t="s">
        <v>402</v>
      </c>
      <c r="G195" s="1280">
        <f>+G182+19</f>
        <v>-330</v>
      </c>
      <c r="H195" s="1281"/>
      <c r="I195" s="1286" t="s">
        <v>403</v>
      </c>
      <c r="J195" s="1280">
        <f>+D195+G195</f>
        <v>-330</v>
      </c>
      <c r="K195" s="1269"/>
    </row>
    <row r="196" spans="2:11" ht="12.75">
      <c r="B196" s="1255"/>
      <c r="C196" s="1279"/>
      <c r="D196" s="1280"/>
      <c r="E196" s="1281"/>
      <c r="F196" s="1279"/>
      <c r="G196" s="1280"/>
      <c r="H196" s="1281"/>
      <c r="I196" s="1287" t="s">
        <v>7</v>
      </c>
      <c r="J196" s="1288">
        <f>+J193+J194+J195</f>
        <v>9315</v>
      </c>
      <c r="K196" s="1269"/>
    </row>
    <row r="197" spans="2:11" ht="12.75">
      <c r="B197" s="1255"/>
      <c r="C197" s="1279" t="s">
        <v>404</v>
      </c>
      <c r="D197" s="1280">
        <f>+D184</f>
        <v>40</v>
      </c>
      <c r="E197" s="1281"/>
      <c r="F197" s="1285" t="s">
        <v>404</v>
      </c>
      <c r="G197" s="1280">
        <v>0</v>
      </c>
      <c r="H197" s="1281"/>
      <c r="I197" s="1285" t="s">
        <v>404</v>
      </c>
      <c r="J197" s="1280">
        <f aca="true" t="shared" si="12" ref="J197:J203">+D197+G197</f>
        <v>40</v>
      </c>
      <c r="K197" s="1269"/>
    </row>
    <row r="198" spans="2:11" ht="12.75">
      <c r="B198" s="1255"/>
      <c r="C198" s="1279" t="s">
        <v>406</v>
      </c>
      <c r="D198" s="1280">
        <f>+D185+4</f>
        <v>608</v>
      </c>
      <c r="E198" s="1281"/>
      <c r="F198" s="1285" t="s">
        <v>406</v>
      </c>
      <c r="G198" s="1280">
        <v>0</v>
      </c>
      <c r="H198" s="1281"/>
      <c r="I198" s="1285" t="s">
        <v>406</v>
      </c>
      <c r="J198" s="1280">
        <f t="shared" si="12"/>
        <v>608</v>
      </c>
      <c r="K198" s="1269"/>
    </row>
    <row r="199" spans="2:11" ht="12.75">
      <c r="B199" s="1255"/>
      <c r="C199" s="1279" t="s">
        <v>408</v>
      </c>
      <c r="D199" s="1280">
        <f>+D186+5</f>
        <v>-66</v>
      </c>
      <c r="E199" s="1281"/>
      <c r="F199" s="1285" t="s">
        <v>408</v>
      </c>
      <c r="G199" s="1280">
        <v>0</v>
      </c>
      <c r="H199" s="1281"/>
      <c r="I199" s="1285" t="s">
        <v>408</v>
      </c>
      <c r="J199" s="1280">
        <f t="shared" si="12"/>
        <v>-66</v>
      </c>
      <c r="K199" s="1269"/>
    </row>
    <row r="200" spans="2:11" ht="12.75">
      <c r="B200" s="1255"/>
      <c r="C200" s="1279" t="s">
        <v>9</v>
      </c>
      <c r="D200" s="1280">
        <f>+D187+10</f>
        <v>-26</v>
      </c>
      <c r="E200" s="1281"/>
      <c r="F200" s="1285" t="s">
        <v>9</v>
      </c>
      <c r="G200" s="1280">
        <v>0</v>
      </c>
      <c r="H200" s="1281"/>
      <c r="I200" s="1285" t="s">
        <v>9</v>
      </c>
      <c r="J200" s="1280">
        <f t="shared" si="12"/>
        <v>-26</v>
      </c>
      <c r="K200" s="1269"/>
    </row>
    <row r="201" spans="2:11" ht="12.75">
      <c r="B201" s="1255"/>
      <c r="C201" s="1279" t="s">
        <v>55</v>
      </c>
      <c r="D201" s="1280">
        <f>+D188</f>
        <v>59</v>
      </c>
      <c r="E201" s="1281"/>
      <c r="F201" s="1285" t="s">
        <v>55</v>
      </c>
      <c r="G201" s="1280">
        <v>0</v>
      </c>
      <c r="H201" s="1281"/>
      <c r="I201" s="1285" t="s">
        <v>55</v>
      </c>
      <c r="J201" s="1280">
        <f t="shared" si="12"/>
        <v>59</v>
      </c>
      <c r="K201" s="1269"/>
    </row>
    <row r="202" spans="2:11" ht="12.75">
      <c r="B202" s="1255"/>
      <c r="C202" s="1285" t="s">
        <v>403</v>
      </c>
      <c r="D202" s="1280">
        <f>+D203-D193-D194-D197-D198-D199-D200-D201</f>
        <v>-352</v>
      </c>
      <c r="E202" s="1281"/>
      <c r="F202" s="1285" t="s">
        <v>402</v>
      </c>
      <c r="G202" s="1280">
        <f>(+G193+G195)*-1</f>
        <v>327</v>
      </c>
      <c r="H202" s="1281"/>
      <c r="I202" s="1285" t="s">
        <v>410</v>
      </c>
      <c r="J202" s="1280">
        <f t="shared" si="12"/>
        <v>-25</v>
      </c>
      <c r="K202" s="1269"/>
    </row>
    <row r="203" spans="2:11" ht="12.75">
      <c r="B203" s="1255"/>
      <c r="C203" s="1293" t="s">
        <v>411</v>
      </c>
      <c r="D203" s="1294">
        <f>+D190+119</f>
        <v>9905</v>
      </c>
      <c r="E203" s="1295"/>
      <c r="F203" s="1293" t="s">
        <v>411</v>
      </c>
      <c r="G203" s="1294">
        <f>+SUM(G193:G202)</f>
        <v>0</v>
      </c>
      <c r="H203" s="1295"/>
      <c r="I203" s="1293" t="s">
        <v>411</v>
      </c>
      <c r="J203" s="1294">
        <f t="shared" si="12"/>
        <v>9905</v>
      </c>
      <c r="K203" s="1269"/>
    </row>
    <row r="204" spans="2:11" ht="12.75">
      <c r="B204" s="1255"/>
      <c r="C204" s="1298"/>
      <c r="D204" s="1298"/>
      <c r="E204" s="1271"/>
      <c r="F204" s="1271"/>
      <c r="G204" s="1271"/>
      <c r="H204" s="1271"/>
      <c r="I204" s="1271"/>
      <c r="J204" s="1271"/>
      <c r="K204" s="1269"/>
    </row>
    <row r="205" spans="2:11" ht="34.5" customHeight="1">
      <c r="B205" s="1255"/>
      <c r="C205" s="1562" t="s">
        <v>427</v>
      </c>
      <c r="D205" s="1562"/>
      <c r="E205" s="1562"/>
      <c r="F205" s="1562"/>
      <c r="G205" s="1562"/>
      <c r="H205" s="1562"/>
      <c r="I205" s="1562"/>
      <c r="J205" s="1562"/>
      <c r="K205" s="1269"/>
    </row>
    <row r="206" spans="2:11" ht="12.75">
      <c r="B206" s="1255"/>
      <c r="C206" s="1327" t="s">
        <v>415</v>
      </c>
      <c r="D206" s="1328"/>
      <c r="E206" s="1281"/>
      <c r="F206" s="1328"/>
      <c r="G206" s="1328"/>
      <c r="H206" s="1281"/>
      <c r="I206" s="1328"/>
      <c r="J206" s="1328"/>
      <c r="K206" s="1269"/>
    </row>
    <row r="207" spans="2:11" ht="12.75">
      <c r="B207" s="1255"/>
      <c r="C207" s="1562" t="s">
        <v>422</v>
      </c>
      <c r="D207" s="1562"/>
      <c r="E207" s="1562"/>
      <c r="F207" s="1562"/>
      <c r="G207" s="1562"/>
      <c r="H207" s="1562"/>
      <c r="I207" s="1562"/>
      <c r="J207" s="1562"/>
      <c r="K207" s="1269"/>
    </row>
    <row r="208" spans="2:11" ht="12.75">
      <c r="B208" s="1329"/>
      <c r="C208" s="1337"/>
      <c r="D208" s="1337"/>
      <c r="E208" s="1335"/>
      <c r="F208" s="1335"/>
      <c r="G208" s="1335"/>
      <c r="H208" s="1335"/>
      <c r="I208" s="1335"/>
      <c r="J208" s="1335"/>
      <c r="K208" s="1331"/>
    </row>
    <row r="209" spans="2:11" ht="18">
      <c r="B209" s="1307"/>
      <c r="C209" s="1558" t="s">
        <v>424</v>
      </c>
      <c r="D209" s="1558"/>
      <c r="E209" s="1558"/>
      <c r="F209" s="1558"/>
      <c r="G209" s="1558"/>
      <c r="H209" s="1558"/>
      <c r="I209" s="1558"/>
      <c r="J209" s="1558"/>
      <c r="K209" s="1308"/>
    </row>
    <row r="210" spans="2:11" ht="15.75">
      <c r="B210" s="1255"/>
      <c r="C210" s="1557" t="s">
        <v>387</v>
      </c>
      <c r="D210" s="1557"/>
      <c r="E210" s="1264"/>
      <c r="F210" s="1264"/>
      <c r="G210" s="1265"/>
      <c r="H210" s="1264"/>
      <c r="I210" s="1557" t="s">
        <v>388</v>
      </c>
      <c r="J210" s="1557"/>
      <c r="K210" s="1269"/>
    </row>
    <row r="211" spans="2:11" ht="12.75">
      <c r="B211" s="1255"/>
      <c r="C211" s="1560" t="s">
        <v>425</v>
      </c>
      <c r="D211" s="1561"/>
      <c r="E211" s="1268"/>
      <c r="F211" s="1560" t="s">
        <v>391</v>
      </c>
      <c r="G211" s="1561"/>
      <c r="H211" s="1268"/>
      <c r="I211" s="1560" t="s">
        <v>426</v>
      </c>
      <c r="J211" s="1561"/>
      <c r="K211" s="1269"/>
    </row>
    <row r="212" spans="2:11" ht="12.75">
      <c r="B212" s="1255"/>
      <c r="C212" s="1271" t="s">
        <v>11</v>
      </c>
      <c r="D212" s="1272" t="s">
        <v>393</v>
      </c>
      <c r="E212" s="1273"/>
      <c r="F212" s="1273"/>
      <c r="G212" s="1272" t="s">
        <v>394</v>
      </c>
      <c r="H212" s="1273"/>
      <c r="I212" s="1273"/>
      <c r="J212" s="1272" t="s">
        <v>395</v>
      </c>
      <c r="K212" s="1269"/>
    </row>
    <row r="213" spans="2:11" ht="12.75">
      <c r="B213" s="1255"/>
      <c r="C213" s="1275" t="s">
        <v>416</v>
      </c>
      <c r="D213" s="1276"/>
      <c r="E213" s="1277"/>
      <c r="F213" s="1275" t="s">
        <v>416</v>
      </c>
      <c r="G213" s="1276"/>
      <c r="H213" s="1277"/>
      <c r="I213" s="1275" t="s">
        <v>416</v>
      </c>
      <c r="J213" s="1276"/>
      <c r="K213" s="1269"/>
    </row>
    <row r="214" spans="2:11" ht="12.75">
      <c r="B214" s="1255"/>
      <c r="C214" s="1279" t="s">
        <v>397</v>
      </c>
      <c r="D214" s="1280">
        <f>3315+106</f>
        <v>3421</v>
      </c>
      <c r="E214" s="1281"/>
      <c r="F214" s="1279" t="s">
        <v>397</v>
      </c>
      <c r="G214" s="1280">
        <f>3-9</f>
        <v>-6</v>
      </c>
      <c r="H214" s="1281"/>
      <c r="I214" s="1282" t="s">
        <v>397</v>
      </c>
      <c r="J214" s="1280">
        <f>+D214+G214</f>
        <v>3415</v>
      </c>
      <c r="K214" s="1269"/>
    </row>
    <row r="215" spans="2:11" ht="12.75">
      <c r="B215" s="1255"/>
      <c r="C215" s="1279" t="s">
        <v>400</v>
      </c>
      <c r="D215" s="1280">
        <v>2834</v>
      </c>
      <c r="E215" s="1281"/>
      <c r="F215" s="1279" t="s">
        <v>400</v>
      </c>
      <c r="G215" s="1280">
        <v>0</v>
      </c>
      <c r="H215" s="1281"/>
      <c r="I215" s="1282" t="s">
        <v>400</v>
      </c>
      <c r="J215" s="1280">
        <f>+D215+G215</f>
        <v>2834</v>
      </c>
      <c r="K215" s="1269"/>
    </row>
    <row r="216" spans="2:11" ht="12.75">
      <c r="B216" s="1255"/>
      <c r="C216" s="1279"/>
      <c r="D216" s="1280"/>
      <c r="E216" s="1281"/>
      <c r="F216" s="1285" t="s">
        <v>402</v>
      </c>
      <c r="G216" s="1280">
        <f>-364-2</f>
        <v>-366</v>
      </c>
      <c r="H216" s="1281"/>
      <c r="I216" s="1286" t="s">
        <v>403</v>
      </c>
      <c r="J216" s="1280">
        <f>+D216+G216</f>
        <v>-366</v>
      </c>
      <c r="K216" s="1269"/>
    </row>
    <row r="217" spans="2:11" ht="12.75">
      <c r="B217" s="1255"/>
      <c r="C217" s="1279"/>
      <c r="D217" s="1280"/>
      <c r="E217" s="1281"/>
      <c r="F217" s="1279"/>
      <c r="G217" s="1280"/>
      <c r="H217" s="1281"/>
      <c r="I217" s="1287" t="s">
        <v>7</v>
      </c>
      <c r="J217" s="1288">
        <f>+J214+J215+J216</f>
        <v>5883</v>
      </c>
      <c r="K217" s="1269"/>
    </row>
    <row r="218" spans="2:11" ht="12.75">
      <c r="B218" s="1255"/>
      <c r="C218" s="1279" t="s">
        <v>404</v>
      </c>
      <c r="D218" s="1280">
        <v>-106</v>
      </c>
      <c r="E218" s="1281"/>
      <c r="F218" s="1285" t="s">
        <v>404</v>
      </c>
      <c r="G218" s="1280">
        <v>0</v>
      </c>
      <c r="H218" s="1281"/>
      <c r="I218" s="1285" t="s">
        <v>404</v>
      </c>
      <c r="J218" s="1280">
        <f aca="true" t="shared" si="13" ref="J218:J224">+D218+G218</f>
        <v>-106</v>
      </c>
      <c r="K218" s="1269"/>
    </row>
    <row r="219" spans="2:11" ht="12.75">
      <c r="B219" s="1255"/>
      <c r="C219" s="1279" t="s">
        <v>406</v>
      </c>
      <c r="D219" s="1280">
        <v>-47</v>
      </c>
      <c r="E219" s="1281"/>
      <c r="F219" s="1285" t="s">
        <v>406</v>
      </c>
      <c r="G219" s="1280">
        <v>0</v>
      </c>
      <c r="H219" s="1281"/>
      <c r="I219" s="1285" t="s">
        <v>406</v>
      </c>
      <c r="J219" s="1280">
        <f t="shared" si="13"/>
        <v>-47</v>
      </c>
      <c r="K219" s="1269"/>
    </row>
    <row r="220" spans="2:11" ht="12.75">
      <c r="B220" s="1255"/>
      <c r="C220" s="1279" t="s">
        <v>408</v>
      </c>
      <c r="D220" s="1280">
        <v>-111</v>
      </c>
      <c r="E220" s="1281"/>
      <c r="F220" s="1285" t="s">
        <v>408</v>
      </c>
      <c r="G220" s="1280">
        <v>0</v>
      </c>
      <c r="H220" s="1281"/>
      <c r="I220" s="1285" t="s">
        <v>408</v>
      </c>
      <c r="J220" s="1280">
        <f t="shared" si="13"/>
        <v>-111</v>
      </c>
      <c r="K220" s="1269"/>
    </row>
    <row r="221" spans="2:11" ht="12.75">
      <c r="B221" s="1255"/>
      <c r="C221" s="1279" t="s">
        <v>9</v>
      </c>
      <c r="D221" s="1280">
        <v>-49</v>
      </c>
      <c r="E221" s="1281"/>
      <c r="F221" s="1285" t="s">
        <v>9</v>
      </c>
      <c r="G221" s="1280">
        <v>0</v>
      </c>
      <c r="H221" s="1281"/>
      <c r="I221" s="1285" t="s">
        <v>9</v>
      </c>
      <c r="J221" s="1280">
        <f t="shared" si="13"/>
        <v>-49</v>
      </c>
      <c r="K221" s="1269"/>
    </row>
    <row r="222" spans="2:11" ht="12.75">
      <c r="B222" s="1255"/>
      <c r="C222" s="1279" t="s">
        <v>55</v>
      </c>
      <c r="D222" s="1280">
        <v>31</v>
      </c>
      <c r="E222" s="1281"/>
      <c r="F222" s="1285" t="s">
        <v>55</v>
      </c>
      <c r="G222" s="1280">
        <v>0</v>
      </c>
      <c r="H222" s="1281"/>
      <c r="I222" s="1285" t="s">
        <v>55</v>
      </c>
      <c r="J222" s="1280">
        <f t="shared" si="13"/>
        <v>31</v>
      </c>
      <c r="K222" s="1269"/>
    </row>
    <row r="223" spans="2:11" ht="12.75">
      <c r="B223" s="1255"/>
      <c r="C223" s="1285" t="s">
        <v>403</v>
      </c>
      <c r="D223" s="1280">
        <f>+D224-D214-D215-D218-D219-D220-D221-D222</f>
        <v>-352</v>
      </c>
      <c r="E223" s="1281"/>
      <c r="F223" s="1285" t="s">
        <v>402</v>
      </c>
      <c r="G223" s="1280">
        <f>(+G214+G216)*-1</f>
        <v>372</v>
      </c>
      <c r="H223" s="1281"/>
      <c r="I223" s="1285" t="s">
        <v>410</v>
      </c>
      <c r="J223" s="1280">
        <f t="shared" si="13"/>
        <v>20</v>
      </c>
      <c r="K223" s="1269"/>
    </row>
    <row r="224" spans="2:11" ht="12.75">
      <c r="B224" s="1255"/>
      <c r="C224" s="1293" t="s">
        <v>411</v>
      </c>
      <c r="D224" s="1294">
        <v>5621</v>
      </c>
      <c r="E224" s="1295"/>
      <c r="F224" s="1293" t="s">
        <v>411</v>
      </c>
      <c r="G224" s="1294">
        <f>+SUM(G214:G223)</f>
        <v>0</v>
      </c>
      <c r="H224" s="1295"/>
      <c r="I224" s="1293" t="s">
        <v>411</v>
      </c>
      <c r="J224" s="1294">
        <f t="shared" si="13"/>
        <v>5621</v>
      </c>
      <c r="K224" s="1269"/>
    </row>
    <row r="225" spans="2:11" ht="12.75">
      <c r="B225" s="1255"/>
      <c r="C225" s="1298"/>
      <c r="D225" s="1298"/>
      <c r="E225" s="1271"/>
      <c r="F225" s="1271"/>
      <c r="G225" s="1271"/>
      <c r="H225" s="1271"/>
      <c r="I225" s="1271"/>
      <c r="J225" s="1271"/>
      <c r="K225" s="1269"/>
    </row>
    <row r="226" spans="2:11" ht="12.75">
      <c r="B226" s="1255"/>
      <c r="C226" s="1275" t="s">
        <v>417</v>
      </c>
      <c r="D226" s="1276"/>
      <c r="E226" s="1277"/>
      <c r="F226" s="1275" t="s">
        <v>417</v>
      </c>
      <c r="G226" s="1276"/>
      <c r="H226" s="1277"/>
      <c r="I226" s="1275" t="s">
        <v>417</v>
      </c>
      <c r="J226" s="1276"/>
      <c r="K226" s="1269"/>
    </row>
    <row r="227" spans="2:11" ht="12.75">
      <c r="B227" s="1255"/>
      <c r="C227" s="1279" t="s">
        <v>397</v>
      </c>
      <c r="D227" s="1280">
        <f>+D214+70</f>
        <v>3491</v>
      </c>
      <c r="E227" s="1281"/>
      <c r="F227" s="1279" t="s">
        <v>397</v>
      </c>
      <c r="G227" s="1280">
        <v>-6</v>
      </c>
      <c r="H227" s="1281"/>
      <c r="I227" s="1282" t="s">
        <v>397</v>
      </c>
      <c r="J227" s="1280">
        <f>+D227+G227</f>
        <v>3485</v>
      </c>
      <c r="K227" s="1269"/>
    </row>
    <row r="228" spans="2:11" ht="12.75">
      <c r="B228" s="1255"/>
      <c r="C228" s="1279" t="s">
        <v>400</v>
      </c>
      <c r="D228" s="1280">
        <f>+D215+16</f>
        <v>2850</v>
      </c>
      <c r="E228" s="1281"/>
      <c r="F228" s="1279" t="s">
        <v>400</v>
      </c>
      <c r="G228" s="1280">
        <v>0</v>
      </c>
      <c r="H228" s="1281"/>
      <c r="I228" s="1282" t="s">
        <v>400</v>
      </c>
      <c r="J228" s="1280">
        <f>+D228+G228</f>
        <v>2850</v>
      </c>
      <c r="K228" s="1269"/>
    </row>
    <row r="229" spans="2:11" ht="12.75">
      <c r="B229" s="1255"/>
      <c r="C229" s="1279"/>
      <c r="D229" s="1280"/>
      <c r="E229" s="1281"/>
      <c r="F229" s="1285" t="s">
        <v>402</v>
      </c>
      <c r="G229" s="1280">
        <f>+G216-106</f>
        <v>-472</v>
      </c>
      <c r="H229" s="1281"/>
      <c r="I229" s="1286" t="s">
        <v>403</v>
      </c>
      <c r="J229" s="1280">
        <f>+D229+G229</f>
        <v>-472</v>
      </c>
      <c r="K229" s="1269"/>
    </row>
    <row r="230" spans="2:11" ht="12.75">
      <c r="B230" s="1255"/>
      <c r="C230" s="1279"/>
      <c r="D230" s="1280"/>
      <c r="E230" s="1281"/>
      <c r="F230" s="1279"/>
      <c r="G230" s="1280"/>
      <c r="H230" s="1281"/>
      <c r="I230" s="1287" t="s">
        <v>7</v>
      </c>
      <c r="J230" s="1288">
        <f>+J227+J228+J229</f>
        <v>5863</v>
      </c>
      <c r="K230" s="1269"/>
    </row>
    <row r="231" spans="2:11" ht="12.75">
      <c r="B231" s="1255"/>
      <c r="C231" s="1279" t="s">
        <v>404</v>
      </c>
      <c r="D231" s="1280">
        <f>+D218</f>
        <v>-106</v>
      </c>
      <c r="E231" s="1281"/>
      <c r="F231" s="1285" t="s">
        <v>404</v>
      </c>
      <c r="G231" s="1280">
        <v>0</v>
      </c>
      <c r="H231" s="1281"/>
      <c r="I231" s="1285" t="s">
        <v>404</v>
      </c>
      <c r="J231" s="1280">
        <f aca="true" t="shared" si="14" ref="J231:J237">+D231+G231</f>
        <v>-106</v>
      </c>
      <c r="K231" s="1269"/>
    </row>
    <row r="232" spans="2:11" ht="12.75">
      <c r="B232" s="1255"/>
      <c r="C232" s="1279" t="s">
        <v>406</v>
      </c>
      <c r="D232" s="1280">
        <f>+D219+4</f>
        <v>-43</v>
      </c>
      <c r="E232" s="1281"/>
      <c r="F232" s="1285" t="s">
        <v>406</v>
      </c>
      <c r="G232" s="1280">
        <v>0</v>
      </c>
      <c r="H232" s="1281"/>
      <c r="I232" s="1285" t="s">
        <v>406</v>
      </c>
      <c r="J232" s="1280">
        <f t="shared" si="14"/>
        <v>-43</v>
      </c>
      <c r="K232" s="1269"/>
    </row>
    <row r="233" spans="2:11" ht="12.75">
      <c r="B233" s="1255"/>
      <c r="C233" s="1279" t="s">
        <v>408</v>
      </c>
      <c r="D233" s="1280">
        <f>+D220+5</f>
        <v>-106</v>
      </c>
      <c r="E233" s="1281"/>
      <c r="F233" s="1285" t="s">
        <v>408</v>
      </c>
      <c r="G233" s="1280">
        <v>0</v>
      </c>
      <c r="H233" s="1281"/>
      <c r="I233" s="1285" t="s">
        <v>408</v>
      </c>
      <c r="J233" s="1280">
        <f t="shared" si="14"/>
        <v>-106</v>
      </c>
      <c r="K233" s="1269"/>
    </row>
    <row r="234" spans="2:11" ht="12.75">
      <c r="B234" s="1255"/>
      <c r="C234" s="1279" t="s">
        <v>9</v>
      </c>
      <c r="D234" s="1280">
        <f>+D221+9</f>
        <v>-40</v>
      </c>
      <c r="E234" s="1281"/>
      <c r="F234" s="1285" t="s">
        <v>9</v>
      </c>
      <c r="G234" s="1280">
        <v>0</v>
      </c>
      <c r="H234" s="1281"/>
      <c r="I234" s="1285" t="s">
        <v>9</v>
      </c>
      <c r="J234" s="1280">
        <f t="shared" si="14"/>
        <v>-40</v>
      </c>
      <c r="K234" s="1269"/>
    </row>
    <row r="235" spans="2:11" ht="12.75">
      <c r="B235" s="1255"/>
      <c r="C235" s="1279" t="s">
        <v>55</v>
      </c>
      <c r="D235" s="1280">
        <f>+D222</f>
        <v>31</v>
      </c>
      <c r="E235" s="1281"/>
      <c r="F235" s="1285" t="s">
        <v>55</v>
      </c>
      <c r="G235" s="1280">
        <v>0</v>
      </c>
      <c r="H235" s="1281"/>
      <c r="I235" s="1285" t="s">
        <v>55</v>
      </c>
      <c r="J235" s="1280">
        <f t="shared" si="14"/>
        <v>31</v>
      </c>
      <c r="K235" s="1269"/>
    </row>
    <row r="236" spans="2:11" ht="12.75">
      <c r="B236" s="1255"/>
      <c r="C236" s="1285" t="s">
        <v>403</v>
      </c>
      <c r="D236" s="1280">
        <f>+D237-D227-D228-D231-D232-D233-D234-D235</f>
        <v>-454</v>
      </c>
      <c r="E236" s="1281"/>
      <c r="F236" s="1285" t="s">
        <v>402</v>
      </c>
      <c r="G236" s="1280">
        <f>(+G227+G229)*-1</f>
        <v>478</v>
      </c>
      <c r="H236" s="1281"/>
      <c r="I236" s="1285" t="s">
        <v>410</v>
      </c>
      <c r="J236" s="1280">
        <f t="shared" si="14"/>
        <v>24</v>
      </c>
      <c r="K236" s="1269"/>
    </row>
    <row r="237" spans="2:11" ht="12.75">
      <c r="B237" s="1255"/>
      <c r="C237" s="1293" t="s">
        <v>411</v>
      </c>
      <c r="D237" s="1294">
        <f>+D224+2</f>
        <v>5623</v>
      </c>
      <c r="E237" s="1295"/>
      <c r="F237" s="1293" t="s">
        <v>411</v>
      </c>
      <c r="G237" s="1294">
        <f>+SUM(G227:G236)</f>
        <v>0</v>
      </c>
      <c r="H237" s="1295"/>
      <c r="I237" s="1293" t="s">
        <v>411</v>
      </c>
      <c r="J237" s="1294">
        <f t="shared" si="14"/>
        <v>5623</v>
      </c>
      <c r="K237" s="1269"/>
    </row>
    <row r="238" spans="2:11" ht="12.75">
      <c r="B238" s="1255"/>
      <c r="C238" s="1298"/>
      <c r="D238" s="1298"/>
      <c r="E238" s="1271"/>
      <c r="F238" s="1271"/>
      <c r="G238" s="1271"/>
      <c r="H238" s="1271"/>
      <c r="I238" s="1271"/>
      <c r="J238" s="1271"/>
      <c r="K238" s="1269"/>
    </row>
    <row r="239" spans="2:11" ht="29.25" customHeight="1">
      <c r="B239" s="1255"/>
      <c r="C239" s="1562" t="s">
        <v>427</v>
      </c>
      <c r="D239" s="1562"/>
      <c r="E239" s="1562"/>
      <c r="F239" s="1562"/>
      <c r="G239" s="1562"/>
      <c r="H239" s="1562"/>
      <c r="I239" s="1562"/>
      <c r="J239" s="1562"/>
      <c r="K239" s="1269"/>
    </row>
    <row r="240" spans="2:11" ht="12.75">
      <c r="B240" s="1255"/>
      <c r="C240" s="1327" t="s">
        <v>415</v>
      </c>
      <c r="D240" s="1328"/>
      <c r="E240" s="1281"/>
      <c r="F240" s="1328"/>
      <c r="G240" s="1328"/>
      <c r="H240" s="1281"/>
      <c r="I240" s="1328"/>
      <c r="J240" s="1328"/>
      <c r="K240" s="1269"/>
    </row>
    <row r="241" spans="2:11" ht="12.75">
      <c r="B241" s="1255"/>
      <c r="C241" s="1562" t="s">
        <v>422</v>
      </c>
      <c r="D241" s="1562"/>
      <c r="E241" s="1562"/>
      <c r="F241" s="1562"/>
      <c r="G241" s="1562"/>
      <c r="H241" s="1562"/>
      <c r="I241" s="1562"/>
      <c r="J241" s="1562"/>
      <c r="K241" s="1269"/>
    </row>
    <row r="242" spans="2:11" ht="12.75">
      <c r="B242" s="1329"/>
      <c r="C242" s="1337"/>
      <c r="D242" s="1337"/>
      <c r="E242" s="1335"/>
      <c r="F242" s="1335"/>
      <c r="G242" s="1335"/>
      <c r="H242" s="1335"/>
      <c r="I242" s="1335"/>
      <c r="J242" s="1335"/>
      <c r="K242" s="1331"/>
    </row>
    <row r="243" spans="2:11" ht="18">
      <c r="B243" s="1307"/>
      <c r="C243" s="1558" t="s">
        <v>428</v>
      </c>
      <c r="D243" s="1558"/>
      <c r="E243" s="1558"/>
      <c r="F243" s="1558"/>
      <c r="G243" s="1558"/>
      <c r="H243" s="1558"/>
      <c r="I243" s="1558"/>
      <c r="J243" s="1558"/>
      <c r="K243" s="1308"/>
    </row>
    <row r="244" spans="2:11" ht="15.75">
      <c r="B244" s="1255"/>
      <c r="C244" s="1557" t="s">
        <v>387</v>
      </c>
      <c r="D244" s="1557"/>
      <c r="E244" s="1264"/>
      <c r="F244" s="1264"/>
      <c r="G244" s="1265"/>
      <c r="H244" s="1264"/>
      <c r="I244" s="1557" t="s">
        <v>388</v>
      </c>
      <c r="J244" s="1557"/>
      <c r="K244" s="1269"/>
    </row>
    <row r="245" spans="2:11" ht="12.75">
      <c r="B245" s="1255"/>
      <c r="C245" s="1560" t="s">
        <v>429</v>
      </c>
      <c r="D245" s="1561"/>
      <c r="E245" s="1268"/>
      <c r="F245" s="1560" t="s">
        <v>391</v>
      </c>
      <c r="G245" s="1561"/>
      <c r="H245" s="1268"/>
      <c r="I245" s="1560" t="s">
        <v>430</v>
      </c>
      <c r="J245" s="1561"/>
      <c r="K245" s="1269"/>
    </row>
    <row r="246" spans="2:11" ht="12.75">
      <c r="B246" s="1255"/>
      <c r="C246" s="1271" t="s">
        <v>11</v>
      </c>
      <c r="D246" s="1272" t="s">
        <v>393</v>
      </c>
      <c r="E246" s="1273"/>
      <c r="F246" s="1273"/>
      <c r="G246" s="1272" t="s">
        <v>394</v>
      </c>
      <c r="H246" s="1273"/>
      <c r="I246" s="1273"/>
      <c r="J246" s="1272" t="s">
        <v>395</v>
      </c>
      <c r="K246" s="1269"/>
    </row>
    <row r="247" spans="2:11" ht="12.75">
      <c r="B247" s="1255"/>
      <c r="C247" s="1275" t="s">
        <v>0</v>
      </c>
      <c r="D247" s="1276"/>
      <c r="E247" s="1277"/>
      <c r="F247" s="1275" t="s">
        <v>0</v>
      </c>
      <c r="G247" s="1276"/>
      <c r="H247" s="1277"/>
      <c r="I247" s="1275" t="s">
        <v>0</v>
      </c>
      <c r="J247" s="1276"/>
      <c r="K247" s="1269"/>
    </row>
    <row r="248" spans="2:11" ht="12.75">
      <c r="B248" s="1255"/>
      <c r="C248" s="1279" t="s">
        <v>397</v>
      </c>
      <c r="D248" s="1280">
        <v>16880</v>
      </c>
      <c r="E248" s="1281"/>
      <c r="F248" s="1279" t="s">
        <v>398</v>
      </c>
      <c r="G248" s="1280">
        <f>99+9</f>
        <v>108</v>
      </c>
      <c r="H248" s="1281"/>
      <c r="I248" s="1282" t="s">
        <v>397</v>
      </c>
      <c r="J248" s="1280">
        <f>+D248+G248</f>
        <v>16988</v>
      </c>
      <c r="K248" s="1269"/>
    </row>
    <row r="249" spans="2:11" ht="12.75">
      <c r="B249" s="1255"/>
      <c r="C249" s="1279" t="s">
        <v>400</v>
      </c>
      <c r="D249" s="1280">
        <v>10210</v>
      </c>
      <c r="E249" s="1281"/>
      <c r="F249" s="1279" t="s">
        <v>400</v>
      </c>
      <c r="G249" s="1280">
        <v>0</v>
      </c>
      <c r="H249" s="1281"/>
      <c r="I249" s="1282" t="s">
        <v>400</v>
      </c>
      <c r="J249" s="1280">
        <f>+D249+G249</f>
        <v>10210</v>
      </c>
      <c r="K249" s="1269"/>
    </row>
    <row r="250" spans="2:11" ht="12.75">
      <c r="B250" s="1255"/>
      <c r="C250" s="1279"/>
      <c r="D250" s="1280"/>
      <c r="E250" s="1281"/>
      <c r="F250" s="1285" t="s">
        <v>402</v>
      </c>
      <c r="G250" s="1280">
        <f>1343-2756</f>
        <v>-1413</v>
      </c>
      <c r="H250" s="1281"/>
      <c r="I250" s="1286" t="s">
        <v>403</v>
      </c>
      <c r="J250" s="1280">
        <f>+D250+G250</f>
        <v>-1413</v>
      </c>
      <c r="K250" s="1269"/>
    </row>
    <row r="251" spans="2:11" ht="12.75">
      <c r="B251" s="1255"/>
      <c r="C251" s="1279"/>
      <c r="D251" s="1280"/>
      <c r="E251" s="1281"/>
      <c r="F251" s="1279"/>
      <c r="G251" s="1280"/>
      <c r="H251" s="1281"/>
      <c r="I251" s="1287" t="s">
        <v>431</v>
      </c>
      <c r="J251" s="1288">
        <f>+J248+J249+J250</f>
        <v>25785</v>
      </c>
      <c r="K251" s="1269"/>
    </row>
    <row r="252" spans="2:11" ht="12.75">
      <c r="B252" s="1255"/>
      <c r="C252" s="1279" t="s">
        <v>404</v>
      </c>
      <c r="D252" s="1280">
        <v>915</v>
      </c>
      <c r="E252" s="1281"/>
      <c r="F252" s="1285" t="s">
        <v>404</v>
      </c>
      <c r="G252" s="1280">
        <v>0</v>
      </c>
      <c r="H252" s="1281"/>
      <c r="I252" s="1285" t="s">
        <v>404</v>
      </c>
      <c r="J252" s="1280">
        <f aca="true" t="shared" si="15" ref="J252:J258">+D252+G252</f>
        <v>915</v>
      </c>
      <c r="K252" s="1269"/>
    </row>
    <row r="253" spans="2:11" ht="12.75">
      <c r="B253" s="1255"/>
      <c r="C253" s="1279" t="s">
        <v>406</v>
      </c>
      <c r="D253" s="1280">
        <v>3964</v>
      </c>
      <c r="E253" s="1281"/>
      <c r="F253" s="1285" t="s">
        <v>406</v>
      </c>
      <c r="G253" s="1280">
        <v>0</v>
      </c>
      <c r="H253" s="1281"/>
      <c r="I253" s="1285" t="s">
        <v>406</v>
      </c>
      <c r="J253" s="1280">
        <f t="shared" si="15"/>
        <v>3964</v>
      </c>
      <c r="K253" s="1269"/>
    </row>
    <row r="254" spans="2:11" ht="12.75">
      <c r="B254" s="1255"/>
      <c r="C254" s="1279" t="s">
        <v>408</v>
      </c>
      <c r="D254" s="1280">
        <v>207</v>
      </c>
      <c r="E254" s="1281"/>
      <c r="F254" s="1285" t="s">
        <v>408</v>
      </c>
      <c r="G254" s="1280">
        <v>0</v>
      </c>
      <c r="H254" s="1281"/>
      <c r="I254" s="1285" t="s">
        <v>408</v>
      </c>
      <c r="J254" s="1280">
        <f t="shared" si="15"/>
        <v>207</v>
      </c>
      <c r="K254" s="1269"/>
    </row>
    <row r="255" spans="2:11" ht="12.75">
      <c r="B255" s="1255"/>
      <c r="C255" s="1279" t="s">
        <v>9</v>
      </c>
      <c r="D255" s="1280">
        <v>440</v>
      </c>
      <c r="E255" s="1281"/>
      <c r="F255" s="1285" t="s">
        <v>9</v>
      </c>
      <c r="G255" s="1280">
        <v>0</v>
      </c>
      <c r="H255" s="1281"/>
      <c r="I255" s="1285" t="s">
        <v>9</v>
      </c>
      <c r="J255" s="1280">
        <f t="shared" si="15"/>
        <v>440</v>
      </c>
      <c r="K255" s="1269"/>
    </row>
    <row r="256" spans="2:11" ht="12.75">
      <c r="B256" s="1255"/>
      <c r="C256" s="1279" t="s">
        <v>55</v>
      </c>
      <c r="D256" s="1280">
        <v>192</v>
      </c>
      <c r="E256" s="1281"/>
      <c r="F256" s="1285" t="s">
        <v>55</v>
      </c>
      <c r="G256" s="1280">
        <v>0</v>
      </c>
      <c r="H256" s="1281"/>
      <c r="I256" s="1285" t="s">
        <v>55</v>
      </c>
      <c r="J256" s="1280">
        <f t="shared" si="15"/>
        <v>192</v>
      </c>
      <c r="K256" s="1269"/>
    </row>
    <row r="257" spans="2:11" ht="12.75">
      <c r="B257" s="1255"/>
      <c r="C257" s="1285" t="s">
        <v>403</v>
      </c>
      <c r="D257" s="1280">
        <v>-1533</v>
      </c>
      <c r="E257" s="1281"/>
      <c r="F257" s="1285" t="s">
        <v>402</v>
      </c>
      <c r="G257" s="1280">
        <v>1305</v>
      </c>
      <c r="H257" s="1281"/>
      <c r="I257" s="1285" t="s">
        <v>410</v>
      </c>
      <c r="J257" s="1280">
        <f t="shared" si="15"/>
        <v>-228</v>
      </c>
      <c r="K257" s="1269"/>
    </row>
    <row r="258" spans="2:11" ht="12.75">
      <c r="B258" s="1255"/>
      <c r="C258" s="1293" t="s">
        <v>411</v>
      </c>
      <c r="D258" s="1294">
        <v>31275</v>
      </c>
      <c r="E258" s="1295"/>
      <c r="F258" s="1293" t="s">
        <v>411</v>
      </c>
      <c r="G258" s="1294">
        <f>+SUM(G248:G257)</f>
        <v>0</v>
      </c>
      <c r="H258" s="1295"/>
      <c r="I258" s="1293" t="s">
        <v>411</v>
      </c>
      <c r="J258" s="1294">
        <f t="shared" si="15"/>
        <v>31275</v>
      </c>
      <c r="K258" s="1269"/>
    </row>
    <row r="259" spans="2:11" ht="12.75">
      <c r="B259" s="1255"/>
      <c r="C259" s="1297"/>
      <c r="D259" s="1297"/>
      <c r="E259" s="1281"/>
      <c r="F259" s="1297"/>
      <c r="G259" s="1297"/>
      <c r="H259" s="1281"/>
      <c r="I259" s="1297"/>
      <c r="J259" s="1297"/>
      <c r="K259" s="1269"/>
    </row>
    <row r="260" spans="2:11" ht="12.75">
      <c r="B260" s="1255"/>
      <c r="C260" s="1275" t="s">
        <v>412</v>
      </c>
      <c r="D260" s="1276"/>
      <c r="E260" s="1277"/>
      <c r="F260" s="1275" t="s">
        <v>412</v>
      </c>
      <c r="G260" s="1276"/>
      <c r="H260" s="1277"/>
      <c r="I260" s="1275" t="s">
        <v>412</v>
      </c>
      <c r="J260" s="1276"/>
      <c r="K260" s="1269"/>
    </row>
    <row r="261" spans="2:11" ht="12.75">
      <c r="B261" s="1255"/>
      <c r="C261" s="1279" t="s">
        <v>397</v>
      </c>
      <c r="D261" s="1280">
        <v>7393</v>
      </c>
      <c r="E261" s="1281"/>
      <c r="F261" s="1279" t="s">
        <v>398</v>
      </c>
      <c r="G261" s="1280">
        <v>3</v>
      </c>
      <c r="H261" s="1281"/>
      <c r="I261" s="1282" t="s">
        <v>397</v>
      </c>
      <c r="J261" s="1280">
        <f>+D261+G261</f>
        <v>7396</v>
      </c>
      <c r="K261" s="1269"/>
    </row>
    <row r="262" spans="2:11" ht="12.75">
      <c r="B262" s="1255"/>
      <c r="C262" s="1279" t="s">
        <v>400</v>
      </c>
      <c r="D262" s="1280">
        <v>5042</v>
      </c>
      <c r="E262" s="1281"/>
      <c r="F262" s="1279" t="s">
        <v>400</v>
      </c>
      <c r="G262" s="1280">
        <v>0</v>
      </c>
      <c r="H262" s="1281"/>
      <c r="I262" s="1282" t="s">
        <v>400</v>
      </c>
      <c r="J262" s="1280">
        <f>+D262+G262</f>
        <v>5042</v>
      </c>
      <c r="K262" s="1269"/>
    </row>
    <row r="263" spans="2:11" ht="12.75">
      <c r="B263" s="1255"/>
      <c r="C263" s="1279"/>
      <c r="D263" s="1280"/>
      <c r="E263" s="1281"/>
      <c r="F263" s="1285" t="s">
        <v>402</v>
      </c>
      <c r="G263" s="1280">
        <v>-545</v>
      </c>
      <c r="H263" s="1281"/>
      <c r="I263" s="1286" t="s">
        <v>403</v>
      </c>
      <c r="J263" s="1280">
        <f>+D263+G263</f>
        <v>-545</v>
      </c>
      <c r="K263" s="1269"/>
    </row>
    <row r="264" spans="2:11" ht="12.75">
      <c r="B264" s="1255"/>
      <c r="C264" s="1279"/>
      <c r="D264" s="1280"/>
      <c r="E264" s="1281"/>
      <c r="F264" s="1279"/>
      <c r="G264" s="1280"/>
      <c r="H264" s="1281"/>
      <c r="I264" s="1287" t="s">
        <v>431</v>
      </c>
      <c r="J264" s="1288">
        <f>+J261+J262+J263</f>
        <v>11893</v>
      </c>
      <c r="K264" s="1269"/>
    </row>
    <row r="265" spans="2:11" ht="12.75">
      <c r="B265" s="1255"/>
      <c r="C265" s="1279" t="s">
        <v>404</v>
      </c>
      <c r="D265" s="1280">
        <v>81</v>
      </c>
      <c r="E265" s="1281"/>
      <c r="F265" s="1285" t="s">
        <v>404</v>
      </c>
      <c r="G265" s="1280">
        <v>0</v>
      </c>
      <c r="H265" s="1281"/>
      <c r="I265" s="1285" t="s">
        <v>404</v>
      </c>
      <c r="J265" s="1280">
        <f aca="true" t="shared" si="16" ref="J265:J271">+D265+G265</f>
        <v>81</v>
      </c>
      <c r="K265" s="1269"/>
    </row>
    <row r="266" spans="2:11" ht="12.75">
      <c r="B266" s="1255"/>
      <c r="C266" s="1279" t="s">
        <v>406</v>
      </c>
      <c r="D266" s="1280">
        <v>950</v>
      </c>
      <c r="E266" s="1281"/>
      <c r="F266" s="1285" t="s">
        <v>406</v>
      </c>
      <c r="G266" s="1280">
        <v>0</v>
      </c>
      <c r="H266" s="1281"/>
      <c r="I266" s="1285" t="s">
        <v>406</v>
      </c>
      <c r="J266" s="1280">
        <f t="shared" si="16"/>
        <v>950</v>
      </c>
      <c r="K266" s="1269"/>
    </row>
    <row r="267" spans="2:11" ht="12.75">
      <c r="B267" s="1255"/>
      <c r="C267" s="1279" t="s">
        <v>408</v>
      </c>
      <c r="D267" s="1280">
        <v>-83</v>
      </c>
      <c r="E267" s="1281"/>
      <c r="F267" s="1285" t="s">
        <v>408</v>
      </c>
      <c r="G267" s="1280">
        <v>0</v>
      </c>
      <c r="H267" s="1281"/>
      <c r="I267" s="1285" t="s">
        <v>408</v>
      </c>
      <c r="J267" s="1280">
        <f t="shared" si="16"/>
        <v>-83</v>
      </c>
      <c r="K267" s="1269"/>
    </row>
    <row r="268" spans="2:11" ht="12.75">
      <c r="B268" s="1255"/>
      <c r="C268" s="1279" t="s">
        <v>9</v>
      </c>
      <c r="D268" s="1280">
        <v>-33</v>
      </c>
      <c r="E268" s="1281"/>
      <c r="F268" s="1285" t="s">
        <v>9</v>
      </c>
      <c r="G268" s="1280">
        <v>0</v>
      </c>
      <c r="H268" s="1281"/>
      <c r="I268" s="1285" t="s">
        <v>9</v>
      </c>
      <c r="J268" s="1280">
        <f t="shared" si="16"/>
        <v>-33</v>
      </c>
      <c r="K268" s="1269"/>
    </row>
    <row r="269" spans="2:11" ht="12.75">
      <c r="B269" s="1255"/>
      <c r="C269" s="1279" t="s">
        <v>55</v>
      </c>
      <c r="D269" s="1280">
        <v>82</v>
      </c>
      <c r="E269" s="1281"/>
      <c r="F269" s="1285" t="s">
        <v>55</v>
      </c>
      <c r="G269" s="1280">
        <v>0</v>
      </c>
      <c r="H269" s="1281"/>
      <c r="I269" s="1285" t="s">
        <v>55</v>
      </c>
      <c r="J269" s="1280">
        <f t="shared" si="16"/>
        <v>82</v>
      </c>
      <c r="K269" s="1269"/>
    </row>
    <row r="270" spans="2:11" ht="12.75">
      <c r="B270" s="1255"/>
      <c r="C270" s="1285" t="s">
        <v>403</v>
      </c>
      <c r="D270" s="1280">
        <v>-582</v>
      </c>
      <c r="E270" s="1281"/>
      <c r="F270" s="1285" t="s">
        <v>402</v>
      </c>
      <c r="G270" s="1280">
        <v>542</v>
      </c>
      <c r="H270" s="1281"/>
      <c r="I270" s="1285" t="s">
        <v>410</v>
      </c>
      <c r="J270" s="1280">
        <f t="shared" si="16"/>
        <v>-40</v>
      </c>
      <c r="K270" s="1269"/>
    </row>
    <row r="271" spans="2:11" ht="12.75">
      <c r="B271" s="1255"/>
      <c r="C271" s="1293" t="s">
        <v>411</v>
      </c>
      <c r="D271" s="1294">
        <v>12850</v>
      </c>
      <c r="E271" s="1295"/>
      <c r="F271" s="1293" t="s">
        <v>411</v>
      </c>
      <c r="G271" s="1294">
        <f>+SUM(G261:G270)</f>
        <v>0</v>
      </c>
      <c r="H271" s="1295"/>
      <c r="I271" s="1293" t="s">
        <v>411</v>
      </c>
      <c r="J271" s="1294">
        <f t="shared" si="16"/>
        <v>12850</v>
      </c>
      <c r="K271" s="1269"/>
    </row>
    <row r="272" spans="2:11" ht="12.75">
      <c r="B272" s="1255"/>
      <c r="C272" s="1271"/>
      <c r="D272" s="1271"/>
      <c r="E272" s="1271"/>
      <c r="F272" s="1271"/>
      <c r="G272" s="1271"/>
      <c r="H272" s="1271"/>
      <c r="I272" s="1271"/>
      <c r="J272" s="1271"/>
      <c r="K272" s="1269"/>
    </row>
    <row r="273" spans="2:11" ht="12.75">
      <c r="B273" s="1255"/>
      <c r="C273" s="1275" t="s">
        <v>413</v>
      </c>
      <c r="D273" s="1276"/>
      <c r="E273" s="1277"/>
      <c r="F273" s="1275" t="s">
        <v>413</v>
      </c>
      <c r="G273" s="1276"/>
      <c r="H273" s="1277"/>
      <c r="I273" s="1275" t="s">
        <v>413</v>
      </c>
      <c r="J273" s="1276"/>
      <c r="K273" s="1269"/>
    </row>
    <row r="274" spans="2:11" ht="12.75">
      <c r="B274" s="1255"/>
      <c r="C274" s="1279" t="s">
        <v>397</v>
      </c>
      <c r="D274" s="1280">
        <v>7539</v>
      </c>
      <c r="E274" s="1281"/>
      <c r="F274" s="1279" t="s">
        <v>398</v>
      </c>
      <c r="G274" s="1280">
        <v>3</v>
      </c>
      <c r="H274" s="1281"/>
      <c r="I274" s="1282" t="s">
        <v>397</v>
      </c>
      <c r="J274" s="1280">
        <f>+D274+G274</f>
        <v>7542</v>
      </c>
      <c r="K274" s="1269"/>
    </row>
    <row r="275" spans="2:11" ht="12.75">
      <c r="B275" s="1255"/>
      <c r="C275" s="1279" t="s">
        <v>400</v>
      </c>
      <c r="D275" s="1280">
        <v>5064</v>
      </c>
      <c r="E275" s="1281"/>
      <c r="F275" s="1279" t="s">
        <v>400</v>
      </c>
      <c r="G275" s="1280">
        <v>0</v>
      </c>
      <c r="H275" s="1281"/>
      <c r="I275" s="1282" t="s">
        <v>400</v>
      </c>
      <c r="J275" s="1280">
        <f>+D275+G275</f>
        <v>5064</v>
      </c>
      <c r="K275" s="1269"/>
    </row>
    <row r="276" spans="2:11" ht="12.75">
      <c r="B276" s="1255"/>
      <c r="C276" s="1279"/>
      <c r="D276" s="1280"/>
      <c r="E276" s="1281"/>
      <c r="F276" s="1285" t="s">
        <v>402</v>
      </c>
      <c r="G276" s="1280">
        <v>-518</v>
      </c>
      <c r="H276" s="1281"/>
      <c r="I276" s="1286" t="s">
        <v>403</v>
      </c>
      <c r="J276" s="1280">
        <f>+D276+G276</f>
        <v>-518</v>
      </c>
      <c r="K276" s="1269"/>
    </row>
    <row r="277" spans="2:11" ht="12.75">
      <c r="B277" s="1255"/>
      <c r="C277" s="1279"/>
      <c r="D277" s="1280"/>
      <c r="E277" s="1281"/>
      <c r="F277" s="1279"/>
      <c r="G277" s="1280"/>
      <c r="H277" s="1281"/>
      <c r="I277" s="1287" t="s">
        <v>431</v>
      </c>
      <c r="J277" s="1288">
        <f>+J274+J275+J276</f>
        <v>12088</v>
      </c>
      <c r="K277" s="1269"/>
    </row>
    <row r="278" spans="2:11" ht="12.75">
      <c r="B278" s="1255"/>
      <c r="C278" s="1279" t="s">
        <v>404</v>
      </c>
      <c r="D278" s="1280">
        <v>81</v>
      </c>
      <c r="E278" s="1281"/>
      <c r="F278" s="1285" t="s">
        <v>404</v>
      </c>
      <c r="G278" s="1280">
        <v>0</v>
      </c>
      <c r="H278" s="1281"/>
      <c r="I278" s="1285" t="s">
        <v>404</v>
      </c>
      <c r="J278" s="1280">
        <f aca="true" t="shared" si="17" ref="J278:J284">+D278+G278</f>
        <v>81</v>
      </c>
      <c r="K278" s="1269"/>
    </row>
    <row r="279" spans="2:11" ht="12.75">
      <c r="B279" s="1255"/>
      <c r="C279" s="1279" t="s">
        <v>406</v>
      </c>
      <c r="D279" s="1280">
        <v>954</v>
      </c>
      <c r="E279" s="1281"/>
      <c r="F279" s="1285" t="s">
        <v>406</v>
      </c>
      <c r="G279" s="1280">
        <v>0</v>
      </c>
      <c r="H279" s="1281"/>
      <c r="I279" s="1285" t="s">
        <v>406</v>
      </c>
      <c r="J279" s="1280">
        <f t="shared" si="17"/>
        <v>954</v>
      </c>
      <c r="K279" s="1269"/>
    </row>
    <row r="280" spans="2:11" ht="12.75">
      <c r="B280" s="1255"/>
      <c r="C280" s="1279" t="s">
        <v>408</v>
      </c>
      <c r="D280" s="1280">
        <v>-77</v>
      </c>
      <c r="E280" s="1281"/>
      <c r="F280" s="1285" t="s">
        <v>408</v>
      </c>
      <c r="G280" s="1280">
        <v>0</v>
      </c>
      <c r="H280" s="1281"/>
      <c r="I280" s="1285" t="s">
        <v>408</v>
      </c>
      <c r="J280" s="1280">
        <f t="shared" si="17"/>
        <v>-77</v>
      </c>
      <c r="K280" s="1269"/>
    </row>
    <row r="281" spans="2:11" ht="12.75">
      <c r="B281" s="1255"/>
      <c r="C281" s="1279" t="s">
        <v>9</v>
      </c>
      <c r="D281" s="1280">
        <v>-12</v>
      </c>
      <c r="E281" s="1281"/>
      <c r="F281" s="1285" t="s">
        <v>9</v>
      </c>
      <c r="G281" s="1280">
        <v>0</v>
      </c>
      <c r="H281" s="1281"/>
      <c r="I281" s="1285" t="s">
        <v>9</v>
      </c>
      <c r="J281" s="1280">
        <f t="shared" si="17"/>
        <v>-12</v>
      </c>
      <c r="K281" s="1269"/>
    </row>
    <row r="282" spans="2:11" ht="12.75">
      <c r="B282" s="1255"/>
      <c r="C282" s="1279" t="s">
        <v>55</v>
      </c>
      <c r="D282" s="1280">
        <v>82</v>
      </c>
      <c r="E282" s="1281"/>
      <c r="F282" s="1285" t="s">
        <v>55</v>
      </c>
      <c r="G282" s="1280">
        <v>0</v>
      </c>
      <c r="H282" s="1281"/>
      <c r="I282" s="1285" t="s">
        <v>55</v>
      </c>
      <c r="J282" s="1280">
        <f t="shared" si="17"/>
        <v>82</v>
      </c>
      <c r="K282" s="1269"/>
    </row>
    <row r="283" spans="2:11" ht="12.75">
      <c r="B283" s="1255"/>
      <c r="C283" s="1285" t="s">
        <v>403</v>
      </c>
      <c r="D283" s="1280">
        <v>-549</v>
      </c>
      <c r="E283" s="1281"/>
      <c r="F283" s="1285" t="s">
        <v>402</v>
      </c>
      <c r="G283" s="1280">
        <v>515</v>
      </c>
      <c r="H283" s="1281"/>
      <c r="I283" s="1285" t="s">
        <v>410</v>
      </c>
      <c r="J283" s="1280">
        <f t="shared" si="17"/>
        <v>-34</v>
      </c>
      <c r="K283" s="1269"/>
    </row>
    <row r="284" spans="2:11" ht="12.75">
      <c r="B284" s="1255"/>
      <c r="C284" s="1293" t="s">
        <v>411</v>
      </c>
      <c r="D284" s="1294">
        <v>13082</v>
      </c>
      <c r="E284" s="1295"/>
      <c r="F284" s="1293" t="s">
        <v>411</v>
      </c>
      <c r="G284" s="1294">
        <f>+SUM(G274:G283)</f>
        <v>0</v>
      </c>
      <c r="H284" s="1295"/>
      <c r="I284" s="1293" t="s">
        <v>411</v>
      </c>
      <c r="J284" s="1294">
        <f t="shared" si="17"/>
        <v>13082</v>
      </c>
      <c r="K284" s="1269"/>
    </row>
    <row r="285" spans="2:11" ht="12.75">
      <c r="B285" s="1255"/>
      <c r="C285" s="1298"/>
      <c r="D285" s="1298"/>
      <c r="E285" s="1271"/>
      <c r="F285" s="1271"/>
      <c r="G285" s="1271"/>
      <c r="H285" s="1271"/>
      <c r="I285" s="1271"/>
      <c r="J285" s="1271"/>
      <c r="K285" s="1269"/>
    </row>
    <row r="286" spans="2:11" ht="27" customHeight="1">
      <c r="B286" s="1255"/>
      <c r="C286" s="1562" t="s">
        <v>432</v>
      </c>
      <c r="D286" s="1562"/>
      <c r="E286" s="1562"/>
      <c r="F286" s="1562"/>
      <c r="G286" s="1562"/>
      <c r="H286" s="1562"/>
      <c r="I286" s="1562"/>
      <c r="J286" s="1562"/>
      <c r="K286" s="1269"/>
    </row>
    <row r="287" spans="2:11" ht="12.75">
      <c r="B287" s="1255"/>
      <c r="C287" s="1327" t="s">
        <v>415</v>
      </c>
      <c r="D287" s="1328"/>
      <c r="E287" s="1281"/>
      <c r="F287" s="1328"/>
      <c r="G287" s="1328"/>
      <c r="H287" s="1281"/>
      <c r="I287" s="1328"/>
      <c r="J287" s="1328"/>
      <c r="K287" s="1269"/>
    </row>
    <row r="288" spans="2:11" ht="12.75">
      <c r="B288" s="1255"/>
      <c r="C288" s="1562" t="s">
        <v>433</v>
      </c>
      <c r="D288" s="1562"/>
      <c r="E288" s="1562"/>
      <c r="F288" s="1562"/>
      <c r="G288" s="1562"/>
      <c r="H288" s="1562"/>
      <c r="I288" s="1562"/>
      <c r="J288" s="1562"/>
      <c r="K288" s="1269"/>
    </row>
    <row r="289" spans="2:11" ht="12.75">
      <c r="B289" s="1329"/>
      <c r="C289" s="1337"/>
      <c r="D289" s="1337"/>
      <c r="E289" s="1335"/>
      <c r="F289" s="1335"/>
      <c r="G289" s="1335"/>
      <c r="H289" s="1335"/>
      <c r="I289" s="1335"/>
      <c r="J289" s="1335"/>
      <c r="K289" s="1331"/>
    </row>
    <row r="290" spans="2:11" ht="18">
      <c r="B290" s="1307"/>
      <c r="C290" s="1558" t="s">
        <v>428</v>
      </c>
      <c r="D290" s="1558"/>
      <c r="E290" s="1558"/>
      <c r="F290" s="1558"/>
      <c r="G290" s="1558"/>
      <c r="H290" s="1558"/>
      <c r="I290" s="1558"/>
      <c r="J290" s="1558"/>
      <c r="K290" s="1308"/>
    </row>
    <row r="291" spans="2:11" ht="15.75">
      <c r="B291" s="1255"/>
      <c r="C291" s="1557" t="s">
        <v>387</v>
      </c>
      <c r="D291" s="1557"/>
      <c r="E291" s="1264"/>
      <c r="F291" s="1264"/>
      <c r="G291" s="1265"/>
      <c r="H291" s="1264"/>
      <c r="I291" s="1557" t="s">
        <v>388</v>
      </c>
      <c r="J291" s="1557"/>
      <c r="K291" s="1269"/>
    </row>
    <row r="292" spans="2:11" ht="12.75">
      <c r="B292" s="1255"/>
      <c r="C292" s="1560" t="s">
        <v>429</v>
      </c>
      <c r="D292" s="1561"/>
      <c r="E292" s="1268"/>
      <c r="F292" s="1560" t="s">
        <v>391</v>
      </c>
      <c r="G292" s="1561"/>
      <c r="H292" s="1268"/>
      <c r="I292" s="1560" t="s">
        <v>430</v>
      </c>
      <c r="J292" s="1561"/>
      <c r="K292" s="1269"/>
    </row>
    <row r="293" spans="2:11" ht="12.75">
      <c r="B293" s="1255"/>
      <c r="C293" s="1271" t="s">
        <v>11</v>
      </c>
      <c r="D293" s="1272" t="s">
        <v>393</v>
      </c>
      <c r="E293" s="1273"/>
      <c r="F293" s="1273"/>
      <c r="G293" s="1272" t="s">
        <v>394</v>
      </c>
      <c r="H293" s="1273"/>
      <c r="I293" s="1273"/>
      <c r="J293" s="1272" t="s">
        <v>395</v>
      </c>
      <c r="K293" s="1269"/>
    </row>
    <row r="294" spans="2:11" ht="12.75">
      <c r="B294" s="1255"/>
      <c r="C294" s="1275" t="s">
        <v>416</v>
      </c>
      <c r="D294" s="1276"/>
      <c r="E294" s="1277"/>
      <c r="F294" s="1275" t="s">
        <v>416</v>
      </c>
      <c r="G294" s="1276"/>
      <c r="H294" s="1277"/>
      <c r="I294" s="1275" t="s">
        <v>416</v>
      </c>
      <c r="J294" s="1276"/>
      <c r="K294" s="1269"/>
    </row>
    <row r="295" spans="2:11" ht="12.75">
      <c r="B295" s="1255"/>
      <c r="C295" s="1279" t="s">
        <v>397</v>
      </c>
      <c r="D295" s="1280">
        <v>4522</v>
      </c>
      <c r="E295" s="1281"/>
      <c r="F295" s="1279" t="s">
        <v>398</v>
      </c>
      <c r="G295" s="1280">
        <v>3</v>
      </c>
      <c r="H295" s="1281"/>
      <c r="I295" s="1282" t="s">
        <v>397</v>
      </c>
      <c r="J295" s="1280">
        <f>+D295+G295</f>
        <v>4525</v>
      </c>
      <c r="K295" s="1269"/>
    </row>
    <row r="296" spans="2:11" ht="12.75">
      <c r="B296" s="1255"/>
      <c r="C296" s="1279" t="s">
        <v>400</v>
      </c>
      <c r="D296" s="1280">
        <v>3741</v>
      </c>
      <c r="E296" s="1281"/>
      <c r="F296" s="1279" t="s">
        <v>400</v>
      </c>
      <c r="G296" s="1280">
        <v>1</v>
      </c>
      <c r="H296" s="1281"/>
      <c r="I296" s="1282" t="s">
        <v>400</v>
      </c>
      <c r="J296" s="1280">
        <f>+D296+G296</f>
        <v>3742</v>
      </c>
      <c r="K296" s="1269"/>
    </row>
    <row r="297" spans="2:11" ht="12.75">
      <c r="B297" s="1255"/>
      <c r="C297" s="1279"/>
      <c r="D297" s="1280"/>
      <c r="E297" s="1281"/>
      <c r="F297" s="1285" t="s">
        <v>402</v>
      </c>
      <c r="G297" s="1280">
        <f>-587-4</f>
        <v>-591</v>
      </c>
      <c r="H297" s="1281"/>
      <c r="I297" s="1286" t="s">
        <v>403</v>
      </c>
      <c r="J297" s="1280">
        <f>+D297+G297</f>
        <v>-591</v>
      </c>
      <c r="K297" s="1269"/>
    </row>
    <row r="298" spans="2:11" ht="12.75">
      <c r="B298" s="1255"/>
      <c r="C298" s="1279"/>
      <c r="D298" s="1280"/>
      <c r="E298" s="1281"/>
      <c r="F298" s="1279"/>
      <c r="G298" s="1280"/>
      <c r="H298" s="1281"/>
      <c r="I298" s="1287" t="s">
        <v>431</v>
      </c>
      <c r="J298" s="1288">
        <f>+J295+J296+J297</f>
        <v>7676</v>
      </c>
      <c r="K298" s="1269"/>
    </row>
    <row r="299" spans="2:11" ht="12.75">
      <c r="B299" s="1255"/>
      <c r="C299" s="1279" t="s">
        <v>404</v>
      </c>
      <c r="D299" s="1280">
        <v>-125</v>
      </c>
      <c r="E299" s="1281"/>
      <c r="F299" s="1285" t="s">
        <v>404</v>
      </c>
      <c r="G299" s="1280">
        <v>0</v>
      </c>
      <c r="H299" s="1281"/>
      <c r="I299" s="1285" t="s">
        <v>404</v>
      </c>
      <c r="J299" s="1280">
        <f aca="true" t="shared" si="18" ref="J299:J305">+D299+G299</f>
        <v>-125</v>
      </c>
      <c r="K299" s="1269"/>
    </row>
    <row r="300" spans="2:11" ht="12.75">
      <c r="B300" s="1255"/>
      <c r="C300" s="1279" t="s">
        <v>406</v>
      </c>
      <c r="D300" s="1280">
        <v>21</v>
      </c>
      <c r="E300" s="1281"/>
      <c r="F300" s="1285" t="s">
        <v>406</v>
      </c>
      <c r="G300" s="1280">
        <v>0</v>
      </c>
      <c r="H300" s="1281"/>
      <c r="I300" s="1285" t="s">
        <v>406</v>
      </c>
      <c r="J300" s="1280">
        <f t="shared" si="18"/>
        <v>21</v>
      </c>
      <c r="K300" s="1269"/>
    </row>
    <row r="301" spans="2:11" ht="12.75">
      <c r="B301" s="1255"/>
      <c r="C301" s="1279" t="s">
        <v>408</v>
      </c>
      <c r="D301" s="1280">
        <v>-137</v>
      </c>
      <c r="E301" s="1281"/>
      <c r="F301" s="1285" t="s">
        <v>408</v>
      </c>
      <c r="G301" s="1280">
        <v>0</v>
      </c>
      <c r="H301" s="1281"/>
      <c r="I301" s="1285" t="s">
        <v>408</v>
      </c>
      <c r="J301" s="1280">
        <f t="shared" si="18"/>
        <v>-137</v>
      </c>
      <c r="K301" s="1269"/>
    </row>
    <row r="302" spans="2:11" ht="12.75">
      <c r="B302" s="1255"/>
      <c r="C302" s="1279" t="s">
        <v>9</v>
      </c>
      <c r="D302" s="1280">
        <v>-50</v>
      </c>
      <c r="E302" s="1281"/>
      <c r="F302" s="1285" t="s">
        <v>9</v>
      </c>
      <c r="G302" s="1280">
        <v>0</v>
      </c>
      <c r="H302" s="1281"/>
      <c r="I302" s="1285" t="s">
        <v>9</v>
      </c>
      <c r="J302" s="1280">
        <f t="shared" si="18"/>
        <v>-50</v>
      </c>
      <c r="K302" s="1269"/>
    </row>
    <row r="303" spans="2:11" ht="12.75">
      <c r="B303" s="1255"/>
      <c r="C303" s="1279" t="s">
        <v>55</v>
      </c>
      <c r="D303" s="1280">
        <v>44</v>
      </c>
      <c r="E303" s="1281"/>
      <c r="F303" s="1285" t="s">
        <v>55</v>
      </c>
      <c r="G303" s="1280">
        <v>0</v>
      </c>
      <c r="H303" s="1281"/>
      <c r="I303" s="1285" t="s">
        <v>55</v>
      </c>
      <c r="J303" s="1280">
        <f t="shared" si="18"/>
        <v>44</v>
      </c>
      <c r="K303" s="1269"/>
    </row>
    <row r="304" spans="2:11" ht="12.75">
      <c r="B304" s="1255"/>
      <c r="C304" s="1285" t="s">
        <v>403</v>
      </c>
      <c r="D304" s="1280">
        <v>-579</v>
      </c>
      <c r="E304" s="1281"/>
      <c r="F304" s="1285" t="s">
        <v>402</v>
      </c>
      <c r="G304" s="1280">
        <f>588-1</f>
        <v>587</v>
      </c>
      <c r="H304" s="1281"/>
      <c r="I304" s="1285" t="s">
        <v>410</v>
      </c>
      <c r="J304" s="1280">
        <f t="shared" si="18"/>
        <v>8</v>
      </c>
      <c r="K304" s="1269"/>
    </row>
    <row r="305" spans="2:11" ht="12.75">
      <c r="B305" s="1255"/>
      <c r="C305" s="1293" t="s">
        <v>411</v>
      </c>
      <c r="D305" s="1294">
        <v>7437</v>
      </c>
      <c r="E305" s="1295"/>
      <c r="F305" s="1293" t="s">
        <v>411</v>
      </c>
      <c r="G305" s="1294">
        <f>+SUM(G295:G304)</f>
        <v>0</v>
      </c>
      <c r="H305" s="1295"/>
      <c r="I305" s="1293" t="s">
        <v>411</v>
      </c>
      <c r="J305" s="1294">
        <f t="shared" si="18"/>
        <v>7437</v>
      </c>
      <c r="K305" s="1269"/>
    </row>
    <row r="306" spans="2:11" ht="12.75">
      <c r="B306" s="1255"/>
      <c r="C306" s="1271"/>
      <c r="D306" s="1271"/>
      <c r="E306" s="1271"/>
      <c r="F306" s="1271"/>
      <c r="G306" s="1271"/>
      <c r="H306" s="1271"/>
      <c r="I306" s="1271"/>
      <c r="J306" s="1271"/>
      <c r="K306" s="1269"/>
    </row>
    <row r="307" spans="2:11" ht="12.75">
      <c r="B307" s="1255"/>
      <c r="C307" s="1275" t="s">
        <v>417</v>
      </c>
      <c r="D307" s="1276"/>
      <c r="E307" s="1277"/>
      <c r="F307" s="1275" t="s">
        <v>417</v>
      </c>
      <c r="G307" s="1276"/>
      <c r="H307" s="1277"/>
      <c r="I307" s="1275" t="s">
        <v>417</v>
      </c>
      <c r="J307" s="1276"/>
      <c r="K307" s="1269"/>
    </row>
    <row r="308" spans="2:11" ht="12.75">
      <c r="B308" s="1255"/>
      <c r="C308" s="1279" t="s">
        <v>397</v>
      </c>
      <c r="D308" s="1280">
        <v>4693</v>
      </c>
      <c r="E308" s="1281"/>
      <c r="F308" s="1279" t="s">
        <v>398</v>
      </c>
      <c r="G308" s="1280">
        <v>3</v>
      </c>
      <c r="H308" s="1281"/>
      <c r="I308" s="1282" t="s">
        <v>397</v>
      </c>
      <c r="J308" s="1280">
        <f>+D308+G308</f>
        <v>4696</v>
      </c>
      <c r="K308" s="1269"/>
    </row>
    <row r="309" spans="2:11" ht="12.75">
      <c r="B309" s="1255"/>
      <c r="C309" s="1279" t="s">
        <v>400</v>
      </c>
      <c r="D309" s="1280">
        <v>3763</v>
      </c>
      <c r="E309" s="1281"/>
      <c r="F309" s="1279" t="s">
        <v>400</v>
      </c>
      <c r="G309" s="1280">
        <v>1</v>
      </c>
      <c r="H309" s="1281"/>
      <c r="I309" s="1282" t="s">
        <v>400</v>
      </c>
      <c r="J309" s="1280">
        <f>+D309+G309</f>
        <v>3764</v>
      </c>
      <c r="K309" s="1269"/>
    </row>
    <row r="310" spans="2:11" ht="12.75">
      <c r="B310" s="1255"/>
      <c r="C310" s="1279"/>
      <c r="D310" s="1280"/>
      <c r="E310" s="1281"/>
      <c r="F310" s="1285" t="s">
        <v>402</v>
      </c>
      <c r="G310" s="1280">
        <v>-699</v>
      </c>
      <c r="H310" s="1281"/>
      <c r="I310" s="1286" t="s">
        <v>403</v>
      </c>
      <c r="J310" s="1280">
        <f>+D310+G310</f>
        <v>-699</v>
      </c>
      <c r="K310" s="1269"/>
    </row>
    <row r="311" spans="2:11" ht="12.75">
      <c r="B311" s="1255"/>
      <c r="C311" s="1279"/>
      <c r="D311" s="1280"/>
      <c r="E311" s="1281"/>
      <c r="F311" s="1279"/>
      <c r="G311" s="1280"/>
      <c r="H311" s="1281"/>
      <c r="I311" s="1287" t="s">
        <v>431</v>
      </c>
      <c r="J311" s="1288">
        <f>+J308+J309+J310</f>
        <v>7761</v>
      </c>
      <c r="K311" s="1269"/>
    </row>
    <row r="312" spans="2:11" ht="12.75">
      <c r="B312" s="1255"/>
      <c r="C312" s="1279" t="s">
        <v>404</v>
      </c>
      <c r="D312" s="1280">
        <v>-125</v>
      </c>
      <c r="E312" s="1281"/>
      <c r="F312" s="1285" t="s">
        <v>404</v>
      </c>
      <c r="G312" s="1280">
        <v>0</v>
      </c>
      <c r="H312" s="1281"/>
      <c r="I312" s="1285" t="s">
        <v>404</v>
      </c>
      <c r="J312" s="1280">
        <f aca="true" t="shared" si="19" ref="J312:J318">+D312+G312</f>
        <v>-125</v>
      </c>
      <c r="K312" s="1269"/>
    </row>
    <row r="313" spans="2:11" ht="12.75">
      <c r="B313" s="1255"/>
      <c r="C313" s="1279" t="s">
        <v>406</v>
      </c>
      <c r="D313" s="1280">
        <v>25</v>
      </c>
      <c r="E313" s="1281"/>
      <c r="F313" s="1285" t="s">
        <v>406</v>
      </c>
      <c r="G313" s="1280">
        <v>0</v>
      </c>
      <c r="H313" s="1281"/>
      <c r="I313" s="1285" t="s">
        <v>406</v>
      </c>
      <c r="J313" s="1280">
        <f t="shared" si="19"/>
        <v>25</v>
      </c>
      <c r="K313" s="1269"/>
    </row>
    <row r="314" spans="2:11" ht="12.75">
      <c r="B314" s="1255"/>
      <c r="C314" s="1279" t="s">
        <v>408</v>
      </c>
      <c r="D314" s="1280">
        <v>-132</v>
      </c>
      <c r="E314" s="1281"/>
      <c r="F314" s="1285" t="s">
        <v>408</v>
      </c>
      <c r="G314" s="1280">
        <v>0</v>
      </c>
      <c r="H314" s="1281"/>
      <c r="I314" s="1285" t="s">
        <v>408</v>
      </c>
      <c r="J314" s="1280">
        <f t="shared" si="19"/>
        <v>-132</v>
      </c>
      <c r="K314" s="1269"/>
    </row>
    <row r="315" spans="2:11" ht="12.75">
      <c r="B315" s="1255"/>
      <c r="C315" s="1279" t="s">
        <v>9</v>
      </c>
      <c r="D315" s="1280">
        <v>-31</v>
      </c>
      <c r="E315" s="1281"/>
      <c r="F315" s="1285" t="s">
        <v>9</v>
      </c>
      <c r="G315" s="1280">
        <v>0</v>
      </c>
      <c r="H315" s="1281"/>
      <c r="I315" s="1285" t="s">
        <v>9</v>
      </c>
      <c r="J315" s="1280">
        <f t="shared" si="19"/>
        <v>-31</v>
      </c>
      <c r="K315" s="1269"/>
    </row>
    <row r="316" spans="2:11" ht="12.75">
      <c r="B316" s="1255"/>
      <c r="C316" s="1279" t="s">
        <v>55</v>
      </c>
      <c r="D316" s="1280">
        <v>44</v>
      </c>
      <c r="E316" s="1281"/>
      <c r="F316" s="1285" t="s">
        <v>55</v>
      </c>
      <c r="G316" s="1280">
        <v>0</v>
      </c>
      <c r="H316" s="1281"/>
      <c r="I316" s="1285" t="s">
        <v>55</v>
      </c>
      <c r="J316" s="1280">
        <f t="shared" si="19"/>
        <v>44</v>
      </c>
      <c r="K316" s="1269"/>
    </row>
    <row r="317" spans="2:11" ht="12.75">
      <c r="B317" s="1255"/>
      <c r="C317" s="1285" t="s">
        <v>403</v>
      </c>
      <c r="D317" s="1280">
        <v>-673</v>
      </c>
      <c r="E317" s="1281"/>
      <c r="F317" s="1285" t="s">
        <v>402</v>
      </c>
      <c r="G317" s="1280">
        <v>695</v>
      </c>
      <c r="H317" s="1281"/>
      <c r="I317" s="1285" t="s">
        <v>410</v>
      </c>
      <c r="J317" s="1280">
        <f t="shared" si="19"/>
        <v>22</v>
      </c>
      <c r="K317" s="1269"/>
    </row>
    <row r="318" spans="2:11" ht="12.75">
      <c r="B318" s="1255"/>
      <c r="C318" s="1293" t="s">
        <v>411</v>
      </c>
      <c r="D318" s="1294">
        <v>7564</v>
      </c>
      <c r="E318" s="1295"/>
      <c r="F318" s="1293" t="s">
        <v>411</v>
      </c>
      <c r="G318" s="1294">
        <f>+SUM(G308:G317)</f>
        <v>0</v>
      </c>
      <c r="H318" s="1295"/>
      <c r="I318" s="1293" t="s">
        <v>411</v>
      </c>
      <c r="J318" s="1294">
        <f t="shared" si="19"/>
        <v>7564</v>
      </c>
      <c r="K318" s="1269"/>
    </row>
    <row r="319" spans="2:11" ht="12.75">
      <c r="B319" s="1255"/>
      <c r="C319" s="1298"/>
      <c r="D319" s="1298"/>
      <c r="E319" s="1271"/>
      <c r="F319" s="1271"/>
      <c r="G319" s="1271"/>
      <c r="H319" s="1271"/>
      <c r="I319" s="1271"/>
      <c r="J319" s="1271"/>
      <c r="K319" s="1269"/>
    </row>
    <row r="320" spans="2:11" ht="24.75" customHeight="1">
      <c r="B320" s="1255"/>
      <c r="C320" s="1562" t="s">
        <v>432</v>
      </c>
      <c r="D320" s="1562"/>
      <c r="E320" s="1562"/>
      <c r="F320" s="1562"/>
      <c r="G320" s="1562"/>
      <c r="H320" s="1562"/>
      <c r="I320" s="1562"/>
      <c r="J320" s="1562"/>
      <c r="K320" s="1269"/>
    </row>
    <row r="321" spans="2:11" ht="12.75">
      <c r="B321" s="1255"/>
      <c r="C321" s="1327" t="s">
        <v>415</v>
      </c>
      <c r="D321" s="1328"/>
      <c r="E321" s="1281"/>
      <c r="F321" s="1328"/>
      <c r="G321" s="1328"/>
      <c r="H321" s="1281"/>
      <c r="I321" s="1328"/>
      <c r="J321" s="1328"/>
      <c r="K321" s="1269"/>
    </row>
    <row r="322" spans="2:11" ht="12.75">
      <c r="B322" s="1255"/>
      <c r="C322" s="1562" t="s">
        <v>433</v>
      </c>
      <c r="D322" s="1562"/>
      <c r="E322" s="1562"/>
      <c r="F322" s="1562"/>
      <c r="G322" s="1562"/>
      <c r="H322" s="1562"/>
      <c r="I322" s="1562"/>
      <c r="J322" s="1562"/>
      <c r="K322" s="1269"/>
    </row>
    <row r="323" spans="2:11" ht="12.75">
      <c r="B323" s="1329"/>
      <c r="C323" s="1337"/>
      <c r="D323" s="1337"/>
      <c r="E323" s="1335"/>
      <c r="F323" s="1335"/>
      <c r="G323" s="1335"/>
      <c r="H323" s="1335"/>
      <c r="I323" s="1335"/>
      <c r="J323" s="1335"/>
      <c r="K323" s="1331"/>
    </row>
  </sheetData>
  <mergeCells count="61">
    <mergeCell ref="C288:J288"/>
    <mergeCell ref="C320:J320"/>
    <mergeCell ref="C322:J322"/>
    <mergeCell ref="C292:D292"/>
    <mergeCell ref="F292:G292"/>
    <mergeCell ref="I292:J292"/>
    <mergeCell ref="C239:J239"/>
    <mergeCell ref="C241:J241"/>
    <mergeCell ref="C211:D211"/>
    <mergeCell ref="F211:G211"/>
    <mergeCell ref="I211:J211"/>
    <mergeCell ref="C162:J162"/>
    <mergeCell ref="F164:G164"/>
    <mergeCell ref="I164:J164"/>
    <mergeCell ref="C205:J205"/>
    <mergeCell ref="C124:J124"/>
    <mergeCell ref="C126:J126"/>
    <mergeCell ref="C158:J158"/>
    <mergeCell ref="C160:J160"/>
    <mergeCell ref="C82:D82"/>
    <mergeCell ref="I82:J82"/>
    <mergeCell ref="C83:D83"/>
    <mergeCell ref="F83:G83"/>
    <mergeCell ref="I83:J83"/>
    <mergeCell ref="C286:J286"/>
    <mergeCell ref="F51:G51"/>
    <mergeCell ref="I51:J51"/>
    <mergeCell ref="C130:D130"/>
    <mergeCell ref="F130:G130"/>
    <mergeCell ref="I130:J130"/>
    <mergeCell ref="C129:D129"/>
    <mergeCell ref="I129:J129"/>
    <mergeCell ref="C128:J128"/>
    <mergeCell ref="C81:J81"/>
    <mergeCell ref="C51:D51"/>
    <mergeCell ref="C243:J243"/>
    <mergeCell ref="C290:J290"/>
    <mergeCell ref="C291:D291"/>
    <mergeCell ref="I291:J291"/>
    <mergeCell ref="C244:D244"/>
    <mergeCell ref="I244:J244"/>
    <mergeCell ref="C245:D245"/>
    <mergeCell ref="F245:G245"/>
    <mergeCell ref="I245:J245"/>
    <mergeCell ref="C210:D210"/>
    <mergeCell ref="I210:J210"/>
    <mergeCell ref="C163:D163"/>
    <mergeCell ref="I163:J163"/>
    <mergeCell ref="C164:D164"/>
    <mergeCell ref="C209:J209"/>
    <mergeCell ref="C207:J207"/>
    <mergeCell ref="B2:K2"/>
    <mergeCell ref="C50:D50"/>
    <mergeCell ref="I50:J50"/>
    <mergeCell ref="C49:J49"/>
    <mergeCell ref="C4:J4"/>
    <mergeCell ref="I5:J5"/>
    <mergeCell ref="C5:D5"/>
    <mergeCell ref="C6:D6"/>
    <mergeCell ref="F6:G6"/>
    <mergeCell ref="I6:J6"/>
  </mergeCells>
  <hyperlinks>
    <hyperlink ref="M4" location="'P&amp;L Group'!A1" display="P&amp;L Group"/>
    <hyperlink ref="M5" location="'Key financial data by BU'!A1" display="Key Financial data by BU"/>
    <hyperlink ref="M6" location="'Balance Sheet'!A1" display="Balance Sheet"/>
    <hyperlink ref="M7" location="'Cashflow Statement'!A1" display="Cashflow Statement"/>
    <hyperlink ref="M8" location="'Domestic Business Results'!A1" display="Domestic Business results"/>
    <hyperlink ref="M10" location="'Domestic Mobile'!A1" display="Domestic Mobile"/>
    <hyperlink ref="M11" location="'TIM Brasil'!A1" display="TIM Brasil"/>
    <hyperlink ref="M12" location="'European BroadBand'!A1" display="European BroadBand"/>
    <hyperlink ref="M13" location="'Shareholder Structure'!A1" display="Shareholder Structure"/>
    <hyperlink ref="M14" location="'Main Group''s Subsidiries'!A1" display="Main Group's Subsidiaries"/>
    <hyperlink ref="M15" location="'Upcoming financial events'!A1" display="Upcoming financial events"/>
    <hyperlink ref="M16" location="Glossary!A1" display="Glossary"/>
    <hyperlink ref="M17" location="Cover!A1" display="Cover"/>
    <hyperlink ref="M9" location="'Domestic Wireline'!A1" display="Domestic Wireline"/>
  </hyperlinks>
  <printOptions horizontalCentered="1" verticalCentered="1"/>
  <pageMargins left="0" right="0" top="0.5905511811023623" bottom="0" header="0.5118110236220472" footer="0.5118110236220472"/>
  <pageSetup fitToHeight="2" horizontalDpi="600" verticalDpi="600" orientation="landscape" paperSize="9" scale="68" r:id="rId2"/>
  <rowBreaks count="7" manualBreakCount="7">
    <brk id="48" min="1" max="10" man="1"/>
    <brk id="80" min="1" max="10" man="1"/>
    <brk id="127" min="1" max="10" man="1"/>
    <brk id="161" min="1" max="10" man="1"/>
    <brk id="208" min="1" max="10" man="1"/>
    <brk id="242" min="1" max="10" man="1"/>
    <brk id="289" min="1" max="10" man="1"/>
  </rowBreaks>
  <drawing r:id="rId1"/>
</worksheet>
</file>

<file path=xl/worksheets/sheet3.xml><?xml version="1.0" encoding="utf-8"?>
<worksheet xmlns="http://schemas.openxmlformats.org/spreadsheetml/2006/main" xmlns:r="http://schemas.openxmlformats.org/officeDocument/2006/relationships">
  <sheetPr codeName="Foglio3"/>
  <dimension ref="B1:Y47"/>
  <sheetViews>
    <sheetView showGridLines="0" zoomScaleSheetLayoutView="100" workbookViewId="0" topLeftCell="A1">
      <selection activeCell="C2" sqref="C2"/>
    </sheetView>
  </sheetViews>
  <sheetFormatPr defaultColWidth="9.140625" defaultRowHeight="12.75"/>
  <cols>
    <col min="1" max="1" width="0.9921875" style="3" customWidth="1"/>
    <col min="2" max="2" width="2.7109375" style="3" customWidth="1"/>
    <col min="3" max="3" width="53.421875" style="3" customWidth="1"/>
    <col min="4" max="7" width="10.421875" style="3" hidden="1" customWidth="1"/>
    <col min="8" max="8" width="1.1484375" style="4" hidden="1" customWidth="1"/>
    <col min="9" max="12" width="10.421875" style="3" hidden="1" customWidth="1"/>
    <col min="13" max="13" width="1.57421875" style="4" customWidth="1"/>
    <col min="14" max="17" width="10.421875" style="3" customWidth="1"/>
    <col min="18" max="18" width="1.57421875" style="4" customWidth="1"/>
    <col min="19" max="21" width="10.8515625" style="3" customWidth="1"/>
    <col min="22" max="22" width="2.7109375" style="3" customWidth="1"/>
    <col min="23" max="23" width="1.421875" style="3" customWidth="1"/>
    <col min="24" max="24" width="33.28125" style="3" bestFit="1" customWidth="1"/>
    <col min="25" max="16384" width="9.140625" style="3" customWidth="1"/>
  </cols>
  <sheetData>
    <row r="1" spans="2:3" ht="12.75">
      <c r="B1" s="1510"/>
      <c r="C1" s="1510"/>
    </row>
    <row r="2" spans="2:24" ht="37.5" customHeight="1">
      <c r="B2" s="960"/>
      <c r="C2" s="957"/>
      <c r="D2" s="957"/>
      <c r="E2" s="957"/>
      <c r="F2" s="957"/>
      <c r="G2" s="957"/>
      <c r="H2" s="957"/>
      <c r="I2" s="957"/>
      <c r="J2" s="957"/>
      <c r="K2" s="957"/>
      <c r="L2" s="957"/>
      <c r="M2" s="957"/>
      <c r="N2" s="957"/>
      <c r="O2" s="957"/>
      <c r="P2" s="957"/>
      <c r="Q2" s="957"/>
      <c r="R2" s="957"/>
      <c r="S2" s="957"/>
      <c r="T2" s="957"/>
      <c r="U2" s="957"/>
      <c r="V2" s="1467"/>
      <c r="X2" s="1347"/>
    </row>
    <row r="3" spans="2:24" ht="36" customHeight="1">
      <c r="B3" s="962"/>
      <c r="C3" s="151"/>
      <c r="D3" s="1507" t="s">
        <v>342</v>
      </c>
      <c r="E3" s="1508"/>
      <c r="F3" s="1508"/>
      <c r="G3" s="1508"/>
      <c r="H3" s="1508"/>
      <c r="I3" s="1508"/>
      <c r="J3" s="1508"/>
      <c r="K3" s="1508"/>
      <c r="L3" s="1509"/>
      <c r="M3" s="151"/>
      <c r="N3" s="1506" t="s">
        <v>366</v>
      </c>
      <c r="O3" s="1506"/>
      <c r="P3" s="1506"/>
      <c r="Q3" s="1506"/>
      <c r="R3" s="151"/>
      <c r="S3" s="151"/>
      <c r="T3" s="151"/>
      <c r="U3" s="151"/>
      <c r="V3" s="1462"/>
      <c r="X3" s="30" t="s">
        <v>59</v>
      </c>
    </row>
    <row r="4" spans="2:24" ht="12.75">
      <c r="B4" s="15"/>
      <c r="C4" s="16" t="s">
        <v>202</v>
      </c>
      <c r="D4" s="969" t="s">
        <v>2</v>
      </c>
      <c r="E4" s="18" t="s">
        <v>3</v>
      </c>
      <c r="F4" s="18" t="s">
        <v>4</v>
      </c>
      <c r="G4" s="18" t="s">
        <v>5</v>
      </c>
      <c r="H4" s="19"/>
      <c r="I4" s="20" t="s">
        <v>6</v>
      </c>
      <c r="J4" s="17" t="s">
        <v>142</v>
      </c>
      <c r="K4" s="17" t="s">
        <v>143</v>
      </c>
      <c r="L4" s="970" t="s">
        <v>228</v>
      </c>
      <c r="M4" s="32"/>
      <c r="N4" s="20" t="s">
        <v>6</v>
      </c>
      <c r="O4" s="17" t="s">
        <v>142</v>
      </c>
      <c r="P4" s="17" t="s">
        <v>143</v>
      </c>
      <c r="Q4" s="17" t="s">
        <v>228</v>
      </c>
      <c r="R4" s="32"/>
      <c r="S4" s="18" t="s">
        <v>339</v>
      </c>
      <c r="T4" s="18" t="s">
        <v>435</v>
      </c>
      <c r="U4" s="18" t="s">
        <v>537</v>
      </c>
      <c r="V4" s="1463"/>
      <c r="X4" s="31" t="s">
        <v>56</v>
      </c>
    </row>
    <row r="5" spans="2:25" ht="12.75">
      <c r="B5" s="15"/>
      <c r="C5" s="7" t="s">
        <v>0</v>
      </c>
      <c r="D5" s="971">
        <v>7482</v>
      </c>
      <c r="E5" s="527">
        <v>7853</v>
      </c>
      <c r="F5" s="527">
        <v>7769</v>
      </c>
      <c r="G5" s="527">
        <v>8171</v>
      </c>
      <c r="H5" s="528"/>
      <c r="I5" s="527">
        <f>+'P&amp;L Group YTD'!I6</f>
        <v>7540</v>
      </c>
      <c r="J5" s="527">
        <f>+'P&amp;L Group YTD'!J6-'P&amp;L Group by quarter'!I5</f>
        <v>7930</v>
      </c>
      <c r="K5" s="527">
        <f>+'P&amp;L Group YTD'!K6-'P&amp;L Group YTD'!J6</f>
        <v>7737</v>
      </c>
      <c r="L5" s="972">
        <f>+'P&amp;L Group YTD'!L6-'P&amp;L Group YTD'!K6</f>
        <v>8083</v>
      </c>
      <c r="M5" s="527"/>
      <c r="N5" s="527">
        <f>+'P&amp;L Group YTD'!N6</f>
        <v>7475</v>
      </c>
      <c r="O5" s="527">
        <f>+'P&amp;L Group YTD'!O6-'P&amp;L Group YTD'!N6</f>
        <v>7862</v>
      </c>
      <c r="P5" s="527">
        <f>+'P&amp;L Group YTD'!P6-'P&amp;L Group YTD'!O6</f>
        <v>7667</v>
      </c>
      <c r="Q5" s="527">
        <f>+'P&amp;L Group YTD'!Q6-'P&amp;L Group YTD'!P6</f>
        <v>8009</v>
      </c>
      <c r="R5" s="527"/>
      <c r="S5" s="527">
        <v>7298</v>
      </c>
      <c r="T5" s="527">
        <v>7540</v>
      </c>
      <c r="U5" s="527">
        <f>+'P&amp;L Group YTD'!U6-'P&amp;L Group YTD'!T6</f>
        <v>7561</v>
      </c>
      <c r="V5" s="1463"/>
      <c r="W5" s="956"/>
      <c r="X5" s="139" t="s">
        <v>206</v>
      </c>
      <c r="Y5" s="5"/>
    </row>
    <row r="6" spans="2:25" ht="12.75">
      <c r="B6" s="15"/>
      <c r="C6" s="8" t="s">
        <v>60</v>
      </c>
      <c r="D6" s="973">
        <v>111</v>
      </c>
      <c r="E6" s="124">
        <v>200</v>
      </c>
      <c r="F6" s="124">
        <v>85</v>
      </c>
      <c r="G6" s="124">
        <v>210</v>
      </c>
      <c r="H6" s="129"/>
      <c r="I6" s="124">
        <f>+'P&amp;L Group YTD'!I7</f>
        <v>73</v>
      </c>
      <c r="J6" s="124">
        <f>+'P&amp;L Group YTD'!J7-'P&amp;L Group by quarter'!I6</f>
        <v>92</v>
      </c>
      <c r="K6" s="124">
        <f>+'P&amp;L Group YTD'!K7-'P&amp;L Group YTD'!J7</f>
        <v>86</v>
      </c>
      <c r="L6" s="303">
        <f>+'P&amp;L Group YTD'!L7-'P&amp;L Group YTD'!K7</f>
        <v>162</v>
      </c>
      <c r="M6" s="124"/>
      <c r="N6" s="124">
        <f>+'P&amp;L Group YTD'!N7</f>
        <v>73</v>
      </c>
      <c r="O6" s="124">
        <f>+'P&amp;L Group YTD'!O7-'P&amp;L Group YTD'!N7</f>
        <v>91</v>
      </c>
      <c r="P6" s="124">
        <f>+'P&amp;L Group YTD'!P7-'P&amp;L Group YTD'!O7</f>
        <v>82</v>
      </c>
      <c r="Q6" s="124">
        <f>+'P&amp;L Group YTD'!Q7-'P&amp;L Group YTD'!P7</f>
        <v>160</v>
      </c>
      <c r="R6" s="124"/>
      <c r="S6" s="124">
        <v>94</v>
      </c>
      <c r="T6" s="124">
        <v>64</v>
      </c>
      <c r="U6" s="124">
        <f>+'P&amp;L Group YTD'!U7-'P&amp;L Group YTD'!T7</f>
        <v>70</v>
      </c>
      <c r="V6" s="1464"/>
      <c r="W6" s="956"/>
      <c r="X6" s="139" t="s">
        <v>207</v>
      </c>
      <c r="Y6" s="5"/>
    </row>
    <row r="7" spans="2:25" ht="12.75">
      <c r="B7" s="15"/>
      <c r="C7" s="7" t="s">
        <v>61</v>
      </c>
      <c r="D7" s="974">
        <v>7593</v>
      </c>
      <c r="E7" s="125">
        <v>8053</v>
      </c>
      <c r="F7" s="125">
        <v>7854</v>
      </c>
      <c r="G7" s="125">
        <v>8381</v>
      </c>
      <c r="H7" s="129"/>
      <c r="I7" s="125">
        <f>+'P&amp;L Group YTD'!I8</f>
        <v>7613</v>
      </c>
      <c r="J7" s="125">
        <f>+'P&amp;L Group YTD'!J8-'P&amp;L Group by quarter'!I7</f>
        <v>8022</v>
      </c>
      <c r="K7" s="125">
        <f>+'P&amp;L Group YTD'!K8-'P&amp;L Group YTD'!J8</f>
        <v>7823</v>
      </c>
      <c r="L7" s="304">
        <f>+'P&amp;L Group YTD'!L8-'P&amp;L Group YTD'!K8</f>
        <v>8245</v>
      </c>
      <c r="M7" s="125"/>
      <c r="N7" s="125">
        <f>+'P&amp;L Group YTD'!N8</f>
        <v>7548</v>
      </c>
      <c r="O7" s="125">
        <f>+'P&amp;L Group YTD'!O8-'P&amp;L Group YTD'!N8</f>
        <v>7953</v>
      </c>
      <c r="P7" s="125">
        <f>+'P&amp;L Group YTD'!P8-'P&amp;L Group YTD'!O8</f>
        <v>7749</v>
      </c>
      <c r="Q7" s="125">
        <f>+'P&amp;L Group YTD'!Q8-'P&amp;L Group YTD'!P8</f>
        <v>8169</v>
      </c>
      <c r="R7" s="125"/>
      <c r="S7" s="125">
        <v>7392</v>
      </c>
      <c r="T7" s="125">
        <v>7604</v>
      </c>
      <c r="U7" s="125">
        <f>+'P&amp;L Group YTD'!U8-'P&amp;L Group YTD'!T8</f>
        <v>7631</v>
      </c>
      <c r="V7" s="1465"/>
      <c r="W7" s="956"/>
      <c r="X7" s="139" t="s">
        <v>223</v>
      </c>
      <c r="Y7" s="5"/>
    </row>
    <row r="8" spans="2:25" ht="12.75">
      <c r="B8" s="15"/>
      <c r="C8" s="9" t="s">
        <v>62</v>
      </c>
      <c r="D8" s="973">
        <v>-3090</v>
      </c>
      <c r="E8" s="124">
        <v>-3679</v>
      </c>
      <c r="F8" s="124">
        <v>-3489</v>
      </c>
      <c r="G8" s="124">
        <v>-3933</v>
      </c>
      <c r="H8" s="129"/>
      <c r="I8" s="124">
        <f>+'P&amp;L Group YTD'!I9</f>
        <v>-3239</v>
      </c>
      <c r="J8" s="124">
        <f>+'P&amp;L Group YTD'!J9-'P&amp;L Group by quarter'!I8</f>
        <v>-3647</v>
      </c>
      <c r="K8" s="124">
        <f>+'P&amp;L Group YTD'!K9-'P&amp;L Group YTD'!J9</f>
        <v>-3450</v>
      </c>
      <c r="L8" s="303">
        <f>+'P&amp;L Group YTD'!L9-'P&amp;L Group YTD'!K9</f>
        <v>-4209</v>
      </c>
      <c r="M8" s="124"/>
      <c r="N8" s="124">
        <f>+'P&amp;L Group YTD'!N9</f>
        <v>-3165</v>
      </c>
      <c r="O8" s="124">
        <f>+'P&amp;L Group YTD'!O9-'P&amp;L Group YTD'!N9</f>
        <v>-3574</v>
      </c>
      <c r="P8" s="124">
        <f>+'P&amp;L Group YTD'!P9-'P&amp;L Group YTD'!O9</f>
        <v>-3378</v>
      </c>
      <c r="Q8" s="124">
        <f>+'P&amp;L Group YTD'!Q9-'P&amp;L Group YTD'!P9</f>
        <v>-4138</v>
      </c>
      <c r="R8" s="124"/>
      <c r="S8" s="124">
        <v>-3149</v>
      </c>
      <c r="T8" s="124">
        <v>-3461</v>
      </c>
      <c r="U8" s="124">
        <f>+'P&amp;L Group YTD'!U9-'P&amp;L Group YTD'!T9</f>
        <v>-3424</v>
      </c>
      <c r="V8" s="1465"/>
      <c r="W8" s="956"/>
      <c r="X8" s="139" t="s">
        <v>310</v>
      </c>
      <c r="Y8" s="5"/>
    </row>
    <row r="9" spans="2:25" ht="12.75">
      <c r="B9" s="15"/>
      <c r="C9" s="9" t="s">
        <v>63</v>
      </c>
      <c r="D9" s="973">
        <v>-1018</v>
      </c>
      <c r="E9" s="124">
        <v>-974</v>
      </c>
      <c r="F9" s="124">
        <v>-863</v>
      </c>
      <c r="G9" s="124">
        <v>-946</v>
      </c>
      <c r="H9" s="129"/>
      <c r="I9" s="124">
        <f>+'P&amp;L Group YTD'!I10</f>
        <v>-1013</v>
      </c>
      <c r="J9" s="124">
        <f>+'P&amp;L Group YTD'!J10-'P&amp;L Group by quarter'!I9</f>
        <v>-912</v>
      </c>
      <c r="K9" s="124">
        <f>+'P&amp;L Group YTD'!K10-'P&amp;L Group YTD'!J10</f>
        <v>-901</v>
      </c>
      <c r="L9" s="303">
        <f>+'P&amp;L Group YTD'!L10-'P&amp;L Group YTD'!K10</f>
        <v>-1058</v>
      </c>
      <c r="M9" s="124"/>
      <c r="N9" s="124">
        <f>+'P&amp;L Group YTD'!N10</f>
        <v>-997</v>
      </c>
      <c r="O9" s="124">
        <f>+'P&amp;L Group YTD'!O10-'P&amp;L Group YTD'!N10</f>
        <v>-896</v>
      </c>
      <c r="P9" s="124">
        <f>+'P&amp;L Group YTD'!P10-'P&amp;L Group YTD'!O10</f>
        <v>-886</v>
      </c>
      <c r="Q9" s="124">
        <f>+'P&amp;L Group YTD'!Q10-'P&amp;L Group YTD'!P10</f>
        <v>-1043</v>
      </c>
      <c r="R9" s="124"/>
      <c r="S9" s="124">
        <v>-991</v>
      </c>
      <c r="T9" s="124">
        <v>-1283</v>
      </c>
      <c r="U9" s="124">
        <f>+'P&amp;L Group YTD'!U10-'P&amp;L Group YTD'!T10</f>
        <v>-895</v>
      </c>
      <c r="V9" s="1465"/>
      <c r="W9" s="956"/>
      <c r="X9" s="139" t="s">
        <v>311</v>
      </c>
      <c r="Y9" s="5"/>
    </row>
    <row r="10" spans="2:25" ht="12.75">
      <c r="B10" s="15"/>
      <c r="C10" s="9" t="s">
        <v>64</v>
      </c>
      <c r="D10" s="973">
        <v>-314</v>
      </c>
      <c r="E10" s="124">
        <v>-352</v>
      </c>
      <c r="F10" s="124">
        <v>-336</v>
      </c>
      <c r="G10" s="124">
        <v>-541</v>
      </c>
      <c r="H10" s="129"/>
      <c r="I10" s="124">
        <f>+'P&amp;L Group YTD'!I11</f>
        <v>-377</v>
      </c>
      <c r="J10" s="124">
        <f>+'P&amp;L Group YTD'!J11-'P&amp;L Group by quarter'!I10</f>
        <v>-455</v>
      </c>
      <c r="K10" s="124">
        <f>+'P&amp;L Group YTD'!K11-'P&amp;L Group YTD'!J11</f>
        <v>-499</v>
      </c>
      <c r="L10" s="303">
        <f>+'P&amp;L Group YTD'!L11-'P&amp;L Group YTD'!K11</f>
        <v>-914</v>
      </c>
      <c r="M10" s="124"/>
      <c r="N10" s="124">
        <f>+'P&amp;L Group YTD'!N11</f>
        <v>-373</v>
      </c>
      <c r="O10" s="124">
        <f>+'P&amp;L Group YTD'!O11-'P&amp;L Group YTD'!N11</f>
        <v>-451</v>
      </c>
      <c r="P10" s="124">
        <f>+'P&amp;L Group YTD'!P11-'P&amp;L Group YTD'!O11</f>
        <v>-496</v>
      </c>
      <c r="Q10" s="124">
        <f>+'P&amp;L Group YTD'!Q11-'P&amp;L Group YTD'!P11</f>
        <v>-912</v>
      </c>
      <c r="R10" s="124"/>
      <c r="S10" s="124">
        <v>-449</v>
      </c>
      <c r="T10" s="124">
        <v>-416</v>
      </c>
      <c r="U10" s="124">
        <f>+'P&amp;L Group YTD'!U11-'P&amp;L Group YTD'!T11</f>
        <v>-395</v>
      </c>
      <c r="V10" s="1465"/>
      <c r="W10" s="956"/>
      <c r="X10" s="139" t="s">
        <v>12</v>
      </c>
      <c r="Y10" s="5"/>
    </row>
    <row r="11" spans="2:25" ht="12.75">
      <c r="B11" s="15"/>
      <c r="C11" s="9" t="s">
        <v>65</v>
      </c>
      <c r="D11" s="973">
        <v>124</v>
      </c>
      <c r="E11" s="124">
        <v>175</v>
      </c>
      <c r="F11" s="124">
        <v>102</v>
      </c>
      <c r="G11" s="124">
        <v>103</v>
      </c>
      <c r="H11" s="129"/>
      <c r="I11" s="124">
        <f>+'P&amp;L Group YTD'!I12</f>
        <v>170</v>
      </c>
      <c r="J11" s="124">
        <f>+'P&amp;L Group YTD'!J12-'P&amp;L Group by quarter'!I11</f>
        <v>132</v>
      </c>
      <c r="K11" s="124">
        <f>+'P&amp;L Group YTD'!K12-'P&amp;L Group YTD'!J12</f>
        <v>166</v>
      </c>
      <c r="L11" s="303">
        <f>+'P&amp;L Group YTD'!L12-'P&amp;L Group YTD'!K12</f>
        <v>120</v>
      </c>
      <c r="M11" s="124"/>
      <c r="N11" s="124">
        <f>+'P&amp;L Group YTD'!N12</f>
        <v>165</v>
      </c>
      <c r="O11" s="124">
        <f>+'P&amp;L Group YTD'!O12-'P&amp;L Group YTD'!N12</f>
        <v>125</v>
      </c>
      <c r="P11" s="124">
        <f>+'P&amp;L Group YTD'!P12-'P&amp;L Group YTD'!O12</f>
        <v>160</v>
      </c>
      <c r="Q11" s="124">
        <f>+'P&amp;L Group YTD'!Q12-'P&amp;L Group YTD'!P12</f>
        <v>108</v>
      </c>
      <c r="R11" s="124"/>
      <c r="S11" s="124">
        <v>163</v>
      </c>
      <c r="T11" s="124">
        <v>125</v>
      </c>
      <c r="U11" s="124">
        <f>+'P&amp;L Group YTD'!U12-'P&amp;L Group YTD'!T12</f>
        <v>170</v>
      </c>
      <c r="V11" s="1465"/>
      <c r="W11" s="956"/>
      <c r="X11" s="139" t="s">
        <v>220</v>
      </c>
      <c r="Y11" s="5"/>
    </row>
    <row r="12" spans="2:25" ht="12.75">
      <c r="B12" s="15"/>
      <c r="C12" s="7" t="s">
        <v>66</v>
      </c>
      <c r="D12" s="975">
        <v>3295</v>
      </c>
      <c r="E12" s="126">
        <v>3223</v>
      </c>
      <c r="F12" s="126">
        <v>3268</v>
      </c>
      <c r="G12" s="126">
        <v>3064</v>
      </c>
      <c r="H12" s="129"/>
      <c r="I12" s="126">
        <f>+'P&amp;L Group YTD'!I13</f>
        <v>3154</v>
      </c>
      <c r="J12" s="126">
        <f>+'P&amp;L Group YTD'!J13-'P&amp;L Group by quarter'!I12</f>
        <v>3140</v>
      </c>
      <c r="K12" s="126">
        <f>+'P&amp;L Group YTD'!K13-'P&amp;L Group YTD'!J13</f>
        <v>3139</v>
      </c>
      <c r="L12" s="305">
        <f>+'P&amp;L Group YTD'!L13-'P&amp;L Group YTD'!K13</f>
        <v>2184</v>
      </c>
      <c r="M12" s="126"/>
      <c r="N12" s="126">
        <f>+'P&amp;L Group YTD'!N13</f>
        <v>3178</v>
      </c>
      <c r="O12" s="126">
        <f>+'P&amp;L Group YTD'!O13-'P&amp;L Group YTD'!N13</f>
        <v>3157</v>
      </c>
      <c r="P12" s="126">
        <f>+'P&amp;L Group YTD'!P13-'P&amp;L Group YTD'!O13</f>
        <v>3149</v>
      </c>
      <c r="Q12" s="126">
        <f>+'P&amp;L Group YTD'!Q13-'P&amp;L Group YTD'!P13</f>
        <v>2184</v>
      </c>
      <c r="R12" s="126"/>
      <c r="S12" s="126">
        <v>2966</v>
      </c>
      <c r="T12" s="126">
        <v>2569</v>
      </c>
      <c r="U12" s="126">
        <f>+'P&amp;L Group YTD'!U13-'P&amp;L Group YTD'!T13</f>
        <v>3087</v>
      </c>
      <c r="V12" s="1465"/>
      <c r="W12" s="956"/>
      <c r="X12" s="139" t="s">
        <v>221</v>
      </c>
      <c r="Y12" s="5"/>
    </row>
    <row r="13" spans="2:25" ht="12.75">
      <c r="B13" s="15"/>
      <c r="C13" s="10" t="s">
        <v>67</v>
      </c>
      <c r="D13" s="976">
        <v>0.44039026998128844</v>
      </c>
      <c r="E13" s="127">
        <v>0.4104164013752706</v>
      </c>
      <c r="F13" s="127">
        <v>0.42064615780666753</v>
      </c>
      <c r="G13" s="127">
        <v>0.3749847019948599</v>
      </c>
      <c r="H13" s="129"/>
      <c r="I13" s="127">
        <f>+I12/I5</f>
        <v>0.41830238726790453</v>
      </c>
      <c r="J13" s="127">
        <f>+J12/J5</f>
        <v>0.39596469104665827</v>
      </c>
      <c r="K13" s="127">
        <f>+K12/K5</f>
        <v>0.40571280858213776</v>
      </c>
      <c r="L13" s="306">
        <f>+L12/L5</f>
        <v>0.27019670914264504</v>
      </c>
      <c r="M13" s="127"/>
      <c r="N13" s="127">
        <f>+N12/N5</f>
        <v>0.4251505016722408</v>
      </c>
      <c r="O13" s="127">
        <f>+O12/O5</f>
        <v>0.4015517679979649</v>
      </c>
      <c r="P13" s="127">
        <f>+P12/P5</f>
        <v>0.41072127298813094</v>
      </c>
      <c r="Q13" s="127">
        <f>+Q12/Q5</f>
        <v>0.27269322012735675</v>
      </c>
      <c r="R13" s="127"/>
      <c r="S13" s="127">
        <v>0.4064127158125514</v>
      </c>
      <c r="T13" s="127">
        <v>0.34071618037135276</v>
      </c>
      <c r="U13" s="127">
        <f>+U12/U$5</f>
        <v>0.4082793281311996</v>
      </c>
      <c r="V13" s="1465"/>
      <c r="W13" s="956"/>
      <c r="X13" s="139" t="s">
        <v>222</v>
      </c>
      <c r="Y13" s="5"/>
    </row>
    <row r="14" spans="2:25" ht="12.75">
      <c r="B14" s="15"/>
      <c r="C14" s="11" t="s">
        <v>68</v>
      </c>
      <c r="D14" s="973">
        <v>-1428</v>
      </c>
      <c r="E14" s="124">
        <v>-1415</v>
      </c>
      <c r="F14" s="124">
        <v>-1435</v>
      </c>
      <c r="G14" s="124">
        <v>-1209</v>
      </c>
      <c r="H14" s="131"/>
      <c r="I14" s="124">
        <f>+'P&amp;L Group YTD'!I15</f>
        <v>-1400</v>
      </c>
      <c r="J14" s="124">
        <f>+'P&amp;L Group YTD'!J15-'P&amp;L Group by quarter'!I14</f>
        <v>-1453</v>
      </c>
      <c r="K14" s="124">
        <f>+'P&amp;L Group YTD'!K15-'P&amp;L Group YTD'!J15</f>
        <v>-1448</v>
      </c>
      <c r="L14" s="303">
        <f>+'P&amp;L Group YTD'!L15-'P&amp;L Group YTD'!K15</f>
        <v>-1510</v>
      </c>
      <c r="M14" s="124"/>
      <c r="N14" s="124">
        <f>+'P&amp;L Group YTD'!N15</f>
        <v>-1373</v>
      </c>
      <c r="O14" s="124">
        <f>+'P&amp;L Group YTD'!O15-'P&amp;L Group YTD'!N15</f>
        <v>-1420</v>
      </c>
      <c r="P14" s="124">
        <f>+'P&amp;L Group YTD'!P15-'P&amp;L Group YTD'!O15</f>
        <v>-1416</v>
      </c>
      <c r="Q14" s="124">
        <f>+'P&amp;L Group YTD'!Q15-'P&amp;L Group YTD'!P15</f>
        <v>-1465</v>
      </c>
      <c r="R14" s="124"/>
      <c r="S14" s="124">
        <v>-1463</v>
      </c>
      <c r="T14" s="124">
        <v>-1489</v>
      </c>
      <c r="U14" s="124">
        <f>+'P&amp;L Group YTD'!U15-'P&amp;L Group YTD'!T15</f>
        <v>-1485</v>
      </c>
      <c r="V14" s="1465"/>
      <c r="W14" s="956"/>
      <c r="X14" s="139" t="s">
        <v>8</v>
      </c>
      <c r="Y14" s="5"/>
    </row>
    <row r="15" spans="2:25" ht="12.75">
      <c r="B15" s="15"/>
      <c r="C15" s="9" t="s">
        <v>217</v>
      </c>
      <c r="D15" s="973">
        <v>-1</v>
      </c>
      <c r="E15" s="124">
        <v>-25</v>
      </c>
      <c r="F15" s="128">
        <v>0</v>
      </c>
      <c r="G15" s="124">
        <v>-20</v>
      </c>
      <c r="H15" s="129"/>
      <c r="I15" s="128">
        <f>+'P&amp;L Group YTD'!I16</f>
        <v>0</v>
      </c>
      <c r="J15" s="128">
        <f>+'P&amp;L Group YTD'!J16-'P&amp;L Group by quarter'!I15</f>
        <v>0</v>
      </c>
      <c r="K15" s="128">
        <f>+'P&amp;L Group YTD'!K16-'P&amp;L Group YTD'!J16</f>
        <v>0</v>
      </c>
      <c r="L15" s="303">
        <f>+'P&amp;L Group YTD'!L16-'P&amp;L Group YTD'!K16</f>
        <v>-47</v>
      </c>
      <c r="M15" s="124"/>
      <c r="N15" s="128">
        <f>+'P&amp;L Group YTD'!N16</f>
        <v>0</v>
      </c>
      <c r="O15" s="128">
        <f>+'P&amp;L Group YTD'!O16-'P&amp;L Group YTD'!N16</f>
        <v>0</v>
      </c>
      <c r="P15" s="128">
        <f>+'P&amp;L Group YTD'!P16-'P&amp;L Group YTD'!O16</f>
        <v>0</v>
      </c>
      <c r="Q15" s="128">
        <f>+'P&amp;L Group YTD'!Q16-'P&amp;L Group YTD'!P16</f>
        <v>-44</v>
      </c>
      <c r="R15" s="124"/>
      <c r="S15" s="128">
        <v>0</v>
      </c>
      <c r="T15" s="124">
        <v>-1</v>
      </c>
      <c r="U15" s="124">
        <f>+'P&amp;L Group YTD'!U16-'P&amp;L Group YTD'!T16</f>
        <v>-5</v>
      </c>
      <c r="V15" s="1465"/>
      <c r="W15" s="956"/>
      <c r="X15" s="139" t="s">
        <v>534</v>
      </c>
      <c r="Y15" s="5"/>
    </row>
    <row r="16" spans="2:25" ht="12.75">
      <c r="B16" s="15"/>
      <c r="C16" s="8" t="s">
        <v>219</v>
      </c>
      <c r="D16" s="973">
        <v>118</v>
      </c>
      <c r="E16" s="124">
        <v>34</v>
      </c>
      <c r="F16" s="124">
        <v>-13</v>
      </c>
      <c r="G16" s="124">
        <v>19</v>
      </c>
      <c r="H16" s="129"/>
      <c r="I16" s="124">
        <f>+'P&amp;L Group YTD'!I17</f>
        <v>9</v>
      </c>
      <c r="J16" s="124">
        <f>+'P&amp;L Group YTD'!J17-'P&amp;L Group by quarter'!I16</f>
        <v>-1</v>
      </c>
      <c r="K16" s="124">
        <f>+'P&amp;L Group YTD'!K17-'P&amp;L Group YTD'!J17</f>
        <v>-2</v>
      </c>
      <c r="L16" s="303">
        <f>+'P&amp;L Group YTD'!L17-'P&amp;L Group YTD'!K17</f>
        <v>-1</v>
      </c>
      <c r="M16" s="124"/>
      <c r="N16" s="124">
        <f>+'P&amp;L Group YTD'!N17</f>
        <v>12</v>
      </c>
      <c r="O16" s="124">
        <f>+'P&amp;L Group YTD'!O17-'P&amp;L Group YTD'!N17</f>
        <v>0</v>
      </c>
      <c r="P16" s="124">
        <f>+'P&amp;L Group YTD'!P17-'P&amp;L Group YTD'!O17</f>
        <v>0</v>
      </c>
      <c r="Q16" s="124">
        <f>+'P&amp;L Group YTD'!Q17-'P&amp;L Group YTD'!P17</f>
        <v>-7</v>
      </c>
      <c r="R16" s="124"/>
      <c r="S16" s="124">
        <v>25</v>
      </c>
      <c r="T16" s="124">
        <v>1</v>
      </c>
      <c r="U16" s="124">
        <f>+'P&amp;L Group YTD'!U17-'P&amp;L Group YTD'!T17</f>
        <v>-1</v>
      </c>
      <c r="V16" s="1465"/>
      <c r="W16" s="956"/>
      <c r="X16" s="139" t="s">
        <v>535</v>
      </c>
      <c r="Y16" s="5"/>
    </row>
    <row r="17" spans="2:25" ht="12.75">
      <c r="B17" s="15"/>
      <c r="C17" s="7" t="s">
        <v>47</v>
      </c>
      <c r="D17" s="974">
        <v>1984</v>
      </c>
      <c r="E17" s="125">
        <v>1817</v>
      </c>
      <c r="F17" s="125">
        <v>1820</v>
      </c>
      <c r="G17" s="125">
        <v>1816</v>
      </c>
      <c r="H17" s="129"/>
      <c r="I17" s="125">
        <f>+'P&amp;L Group YTD'!I18</f>
        <v>1763</v>
      </c>
      <c r="J17" s="125">
        <f>+'P&amp;L Group YTD'!J18-'P&amp;L Group by quarter'!I17</f>
        <v>1686</v>
      </c>
      <c r="K17" s="125">
        <f>+'P&amp;L Group YTD'!K18-'P&amp;L Group YTD'!J18</f>
        <v>1689</v>
      </c>
      <c r="L17" s="304">
        <f>+'P&amp;L Group YTD'!L18-'P&amp;L Group YTD'!K18</f>
        <v>626</v>
      </c>
      <c r="M17" s="125"/>
      <c r="N17" s="125">
        <f>+'P&amp;L Group YTD'!N18</f>
        <v>1817</v>
      </c>
      <c r="O17" s="125">
        <f>+'P&amp;L Group YTD'!O18-'P&amp;L Group YTD'!N18</f>
        <v>1737</v>
      </c>
      <c r="P17" s="125">
        <f>+'P&amp;L Group YTD'!P18-'P&amp;L Group YTD'!O18</f>
        <v>1733</v>
      </c>
      <c r="Q17" s="125">
        <f>+'P&amp;L Group YTD'!Q18-'P&amp;L Group YTD'!P18</f>
        <v>668</v>
      </c>
      <c r="R17" s="125"/>
      <c r="S17" s="125">
        <v>1528</v>
      </c>
      <c r="T17" s="125">
        <v>1080</v>
      </c>
      <c r="U17" s="125">
        <f>+'P&amp;L Group YTD'!U18-'P&amp;L Group YTD'!T18</f>
        <v>1596</v>
      </c>
      <c r="V17" s="1465"/>
      <c r="W17" s="956"/>
      <c r="X17" s="139" t="s">
        <v>545</v>
      </c>
      <c r="Y17" s="5"/>
    </row>
    <row r="18" spans="2:25" ht="12.75">
      <c r="B18" s="15"/>
      <c r="C18" s="10" t="s">
        <v>69</v>
      </c>
      <c r="D18" s="976">
        <v>0.2651697407110398</v>
      </c>
      <c r="E18" s="127">
        <v>0.23137654399592514</v>
      </c>
      <c r="F18" s="127">
        <v>0.23426438409061656</v>
      </c>
      <c r="G18" s="127">
        <v>0.22224941867580467</v>
      </c>
      <c r="H18" s="129"/>
      <c r="I18" s="127">
        <f>+I17/I5</f>
        <v>0.23381962864721487</v>
      </c>
      <c r="J18" s="127">
        <f>+J17/J5</f>
        <v>0.21261034047919294</v>
      </c>
      <c r="K18" s="127">
        <f>+K17/K5</f>
        <v>0.21830166731291198</v>
      </c>
      <c r="L18" s="306">
        <f>+L17/L5</f>
        <v>0.07744649263887171</v>
      </c>
      <c r="M18" s="127"/>
      <c r="N18" s="127">
        <f>+N17/N5</f>
        <v>0.24307692307692308</v>
      </c>
      <c r="O18" s="127">
        <f>+O17/O5</f>
        <v>0.22093614856270669</v>
      </c>
      <c r="P18" s="127">
        <f>+P17/P5</f>
        <v>0.22603365071083867</v>
      </c>
      <c r="Q18" s="127">
        <f>+Q17/Q5</f>
        <v>0.08340616806093146</v>
      </c>
      <c r="R18" s="127"/>
      <c r="S18" s="127">
        <v>0.20937243080295972</v>
      </c>
      <c r="T18" s="127">
        <v>0.14323607427055704</v>
      </c>
      <c r="U18" s="127">
        <f>+U17/U$5</f>
        <v>0.21108319005422563</v>
      </c>
      <c r="V18" s="1465"/>
      <c r="W18" s="956"/>
      <c r="X18" s="139" t="s">
        <v>109</v>
      </c>
      <c r="Y18" s="5"/>
    </row>
    <row r="19" spans="2:24" ht="12.75">
      <c r="B19" s="15"/>
      <c r="C19" s="9" t="s">
        <v>70</v>
      </c>
      <c r="D19" s="973">
        <v>12</v>
      </c>
      <c r="E19" s="124">
        <v>13</v>
      </c>
      <c r="F19" s="124">
        <v>8</v>
      </c>
      <c r="G19" s="124">
        <v>18</v>
      </c>
      <c r="H19" s="129"/>
      <c r="I19" s="124">
        <f>+'P&amp;L Group YTD'!I20</f>
        <v>29</v>
      </c>
      <c r="J19" s="124">
        <f>+'P&amp;L Group YTD'!J20-'P&amp;L Group by quarter'!I19</f>
        <v>29</v>
      </c>
      <c r="K19" s="124">
        <f>+'P&amp;L Group YTD'!K20-'P&amp;L Group YTD'!J20</f>
        <v>17</v>
      </c>
      <c r="L19" s="303">
        <f>+'P&amp;L Group YTD'!L20-'P&amp;L Group YTD'!K20</f>
        <v>11</v>
      </c>
      <c r="M19" s="124"/>
      <c r="N19" s="124">
        <f>+'P&amp;L Group YTD'!N20</f>
        <v>29</v>
      </c>
      <c r="O19" s="124">
        <f>+'P&amp;L Group YTD'!O20-'P&amp;L Group YTD'!N20</f>
        <v>29</v>
      </c>
      <c r="P19" s="124">
        <f>+'P&amp;L Group YTD'!P20-'P&amp;L Group YTD'!O20</f>
        <v>17</v>
      </c>
      <c r="Q19" s="124">
        <f>+'P&amp;L Group YTD'!Q20-'P&amp;L Group YTD'!P20</f>
        <v>12</v>
      </c>
      <c r="R19" s="124"/>
      <c r="S19" s="124">
        <v>19</v>
      </c>
      <c r="T19" s="124">
        <v>18</v>
      </c>
      <c r="U19" s="124">
        <f>+'P&amp;L Group YTD'!U20-'P&amp;L Group YTD'!T20</f>
        <v>16</v>
      </c>
      <c r="V19" s="1465"/>
      <c r="W19" s="956"/>
      <c r="X19" s="139" t="s">
        <v>157</v>
      </c>
    </row>
    <row r="20" spans="2:24" ht="12.75">
      <c r="B20" s="15"/>
      <c r="C20" s="9" t="s">
        <v>71</v>
      </c>
      <c r="D20" s="973">
        <v>-579</v>
      </c>
      <c r="E20" s="124">
        <v>-515</v>
      </c>
      <c r="F20" s="124">
        <v>-399</v>
      </c>
      <c r="G20" s="124">
        <v>-480</v>
      </c>
      <c r="H20" s="129"/>
      <c r="I20" s="124">
        <f>+'P&amp;L Group YTD'!I21</f>
        <v>-456</v>
      </c>
      <c r="J20" s="124">
        <f>+'P&amp;L Group YTD'!J21-'P&amp;L Group by quarter'!I20</f>
        <v>-527</v>
      </c>
      <c r="K20" s="124">
        <f>+'P&amp;L Group YTD'!K21-'P&amp;L Group YTD'!J21</f>
        <v>-464</v>
      </c>
      <c r="L20" s="303">
        <f>+'P&amp;L Group YTD'!L21-'P&amp;L Group YTD'!K21</f>
        <v>-302</v>
      </c>
      <c r="M20" s="124"/>
      <c r="N20" s="124">
        <f>+'P&amp;L Group YTD'!N21</f>
        <v>-450</v>
      </c>
      <c r="O20" s="124">
        <f>+'P&amp;L Group YTD'!O21-'P&amp;L Group YTD'!N21</f>
        <v>-519</v>
      </c>
      <c r="P20" s="124">
        <f>+'P&amp;L Group YTD'!P21-'P&amp;L Group YTD'!O21</f>
        <v>-456</v>
      </c>
      <c r="Q20" s="124">
        <f>+'P&amp;L Group YTD'!Q21-'P&amp;L Group YTD'!P21</f>
        <v>-293</v>
      </c>
      <c r="R20" s="124"/>
      <c r="S20" s="124">
        <v>-598</v>
      </c>
      <c r="T20" s="124">
        <v>-618</v>
      </c>
      <c r="U20" s="124">
        <f>+'P&amp;L Group YTD'!U21-'P&amp;L Group YTD'!T21</f>
        <v>-747</v>
      </c>
      <c r="V20" s="1465"/>
      <c r="W20" s="956"/>
      <c r="X20" s="1469" t="s">
        <v>382</v>
      </c>
    </row>
    <row r="21" spans="2:24" ht="12.75">
      <c r="B21" s="15"/>
      <c r="C21" s="7" t="s">
        <v>72</v>
      </c>
      <c r="D21" s="974">
        <v>1417</v>
      </c>
      <c r="E21" s="125">
        <v>1315</v>
      </c>
      <c r="F21" s="125">
        <v>1429</v>
      </c>
      <c r="G21" s="125">
        <v>1354</v>
      </c>
      <c r="H21" s="129"/>
      <c r="I21" s="125">
        <f>+'P&amp;L Group YTD'!I22</f>
        <v>1336</v>
      </c>
      <c r="J21" s="125">
        <f>+'P&amp;L Group YTD'!J22-'P&amp;L Group by quarter'!I21</f>
        <v>1188</v>
      </c>
      <c r="K21" s="125">
        <f>+'P&amp;L Group YTD'!K22-'P&amp;L Group YTD'!J22</f>
        <v>1242</v>
      </c>
      <c r="L21" s="304">
        <f>+'P&amp;L Group YTD'!L22-'P&amp;L Group YTD'!K22</f>
        <v>335</v>
      </c>
      <c r="M21" s="125"/>
      <c r="N21" s="125">
        <f>+'P&amp;L Group YTD'!N22</f>
        <v>1396</v>
      </c>
      <c r="O21" s="125">
        <f>+'P&amp;L Group YTD'!O22-'P&amp;L Group YTD'!N22</f>
        <v>1247</v>
      </c>
      <c r="P21" s="125">
        <f>+'P&amp;L Group YTD'!P22-'P&amp;L Group YTD'!O22</f>
        <v>1294</v>
      </c>
      <c r="Q21" s="125">
        <f>+'P&amp;L Group YTD'!Q22-'P&amp;L Group YTD'!P22</f>
        <v>387</v>
      </c>
      <c r="R21" s="125"/>
      <c r="S21" s="125">
        <v>949</v>
      </c>
      <c r="T21" s="125">
        <v>480</v>
      </c>
      <c r="U21" s="125">
        <f>+'P&amp;L Group YTD'!U22-'P&amp;L Group YTD'!T22</f>
        <v>865</v>
      </c>
      <c r="V21" s="1465"/>
      <c r="W21" s="956"/>
      <c r="X21" s="162" t="s">
        <v>312</v>
      </c>
    </row>
    <row r="22" spans="2:23" ht="12.75">
      <c r="B22" s="15"/>
      <c r="C22" s="9" t="s">
        <v>79</v>
      </c>
      <c r="D22" s="976">
        <v>0.18938786420743117</v>
      </c>
      <c r="E22" s="127">
        <v>0.1674519291990322</v>
      </c>
      <c r="F22" s="127">
        <v>0.18393615651950057</v>
      </c>
      <c r="G22" s="127">
        <v>0.1657079916778852</v>
      </c>
      <c r="H22" s="129"/>
      <c r="I22" s="127">
        <f>+I21/I5</f>
        <v>0.17718832891246683</v>
      </c>
      <c r="J22" s="127">
        <f>+J21/J5</f>
        <v>0.1498108448928121</v>
      </c>
      <c r="K22" s="127">
        <f>+K21/K5</f>
        <v>0.16052733617681272</v>
      </c>
      <c r="L22" s="306">
        <f>+L21/L5</f>
        <v>0.041445008041568726</v>
      </c>
      <c r="M22" s="127"/>
      <c r="N22" s="127">
        <f>+N21/N5</f>
        <v>0.18675585284280938</v>
      </c>
      <c r="O22" s="127">
        <f>+O21/O5</f>
        <v>0.15861104044772323</v>
      </c>
      <c r="P22" s="127">
        <f>+P21/P5</f>
        <v>0.16877527064040693</v>
      </c>
      <c r="Q22" s="127">
        <f>+Q21/Q5</f>
        <v>0.04832063928080909</v>
      </c>
      <c r="R22" s="127"/>
      <c r="S22" s="127">
        <v>0.13003562619895861</v>
      </c>
      <c r="T22" s="127">
        <v>0.0636604774535809</v>
      </c>
      <c r="U22" s="127">
        <f>+U21/U$5</f>
        <v>0.11440285676497818</v>
      </c>
      <c r="V22" s="1465"/>
      <c r="W22" s="956"/>
    </row>
    <row r="23" spans="2:23" ht="12.75">
      <c r="B23" s="15"/>
      <c r="C23" s="9" t="s">
        <v>73</v>
      </c>
      <c r="D23" s="973">
        <v>-656</v>
      </c>
      <c r="E23" s="124">
        <v>-649</v>
      </c>
      <c r="F23" s="124">
        <v>-551</v>
      </c>
      <c r="G23" s="124">
        <v>-663</v>
      </c>
      <c r="H23" s="129"/>
      <c r="I23" s="124">
        <f>+'P&amp;L Group YTD'!I24</f>
        <v>-561</v>
      </c>
      <c r="J23" s="124">
        <f>+'P&amp;L Group YTD'!J24-'P&amp;L Group by quarter'!I23</f>
        <v>-457</v>
      </c>
      <c r="K23" s="124">
        <f>+'P&amp;L Group YTD'!K24-'P&amp;L Group YTD'!J24</f>
        <v>-536</v>
      </c>
      <c r="L23" s="303">
        <f>+'P&amp;L Group YTD'!L24-'P&amp;L Group YTD'!K24</f>
        <v>-128</v>
      </c>
      <c r="M23" s="124"/>
      <c r="N23" s="124">
        <f>+'P&amp;L Group YTD'!N24</f>
        <v>-561</v>
      </c>
      <c r="O23" s="124">
        <f>+'P&amp;L Group YTD'!O24-'P&amp;L Group YTD'!N24</f>
        <v>-457</v>
      </c>
      <c r="P23" s="124">
        <f>+'P&amp;L Group YTD'!P24-'P&amp;L Group YTD'!O24</f>
        <v>-537</v>
      </c>
      <c r="Q23" s="124">
        <f>+'P&amp;L Group YTD'!Q24-'P&amp;L Group YTD'!P24</f>
        <v>-128</v>
      </c>
      <c r="R23" s="124"/>
      <c r="S23" s="124">
        <v>-392</v>
      </c>
      <c r="T23" s="124">
        <v>219</v>
      </c>
      <c r="U23" s="124">
        <f>+'P&amp;L Group YTD'!U24-'P&amp;L Group YTD'!T24</f>
        <v>-362</v>
      </c>
      <c r="V23" s="1465"/>
      <c r="W23" s="956"/>
    </row>
    <row r="24" spans="2:23" ht="12.75">
      <c r="B24" s="15"/>
      <c r="C24" s="9" t="s">
        <v>80</v>
      </c>
      <c r="D24" s="976">
        <v>0.4629498941425547</v>
      </c>
      <c r="E24" s="127">
        <v>0.4935361216730038</v>
      </c>
      <c r="F24" s="127">
        <v>0.38558432470258924</v>
      </c>
      <c r="G24" s="127">
        <v>0.4896602658788774</v>
      </c>
      <c r="H24" s="129"/>
      <c r="I24" s="127">
        <f>+'P&amp;L Group YTD'!I25</f>
        <v>0.4199101796407186</v>
      </c>
      <c r="J24" s="127">
        <f>-(+J23/J21)</f>
        <v>0.3846801346801347</v>
      </c>
      <c r="K24" s="127">
        <f>-(+K23/K21)</f>
        <v>0.43156199677938806</v>
      </c>
      <c r="L24" s="306">
        <f>-(+L23/L21)</f>
        <v>0.382089552238806</v>
      </c>
      <c r="M24" s="127"/>
      <c r="N24" s="127">
        <f>+N23/N21*-1</f>
        <v>0.40186246418338106</v>
      </c>
      <c r="O24" s="127">
        <f>+O23/O21*-1</f>
        <v>0.3664795509222133</v>
      </c>
      <c r="P24" s="221">
        <f>-P23/P21</f>
        <v>0.41499227202472955</v>
      </c>
      <c r="Q24" s="221">
        <f>-Q23/Q21</f>
        <v>0.330749354005168</v>
      </c>
      <c r="R24" s="127"/>
      <c r="S24" s="221">
        <f>-S23/S21</f>
        <v>0.4130663856691254</v>
      </c>
      <c r="T24" s="221" t="s">
        <v>141</v>
      </c>
      <c r="U24" s="221">
        <f>-U23/U21</f>
        <v>0.4184971098265896</v>
      </c>
      <c r="V24" s="1465"/>
      <c r="W24" s="956"/>
    </row>
    <row r="25" spans="2:23" ht="12.75">
      <c r="B25" s="15"/>
      <c r="C25" s="7" t="s">
        <v>74</v>
      </c>
      <c r="D25" s="974">
        <v>761</v>
      </c>
      <c r="E25" s="125">
        <v>666</v>
      </c>
      <c r="F25" s="125">
        <v>878</v>
      </c>
      <c r="G25" s="125">
        <v>691</v>
      </c>
      <c r="H25" s="129"/>
      <c r="I25" s="125">
        <f>+'P&amp;L Group YTD'!I26</f>
        <v>775</v>
      </c>
      <c r="J25" s="125">
        <f>+'P&amp;L Group YTD'!J26-'P&amp;L Group by quarter'!I25</f>
        <v>731</v>
      </c>
      <c r="K25" s="125">
        <f>+'P&amp;L Group YTD'!K26-'P&amp;L Group YTD'!J26</f>
        <v>706</v>
      </c>
      <c r="L25" s="304">
        <f>+'P&amp;L Group YTD'!L26-'P&amp;L Group YTD'!K26</f>
        <v>207</v>
      </c>
      <c r="M25" s="125"/>
      <c r="N25" s="125">
        <f>+'P&amp;L Group YTD'!N26</f>
        <v>835</v>
      </c>
      <c r="O25" s="125">
        <f>+'P&amp;L Group YTD'!O26-'P&amp;L Group YTD'!N26</f>
        <v>790</v>
      </c>
      <c r="P25" s="125">
        <f>+'P&amp;L Group YTD'!P26-'P&amp;L Group YTD'!O26</f>
        <v>757</v>
      </c>
      <c r="Q25" s="125">
        <f>+'P&amp;L Group YTD'!Q26-'P&amp;L Group YTD'!P26</f>
        <v>259</v>
      </c>
      <c r="R25" s="125"/>
      <c r="S25" s="125">
        <v>557</v>
      </c>
      <c r="T25" s="125">
        <v>699</v>
      </c>
      <c r="U25" s="125">
        <f>+'P&amp;L Group YTD'!U26-'P&amp;L Group YTD'!T26</f>
        <v>503</v>
      </c>
      <c r="V25" s="1465"/>
      <c r="W25" s="956"/>
    </row>
    <row r="26" spans="2:23" ht="12.75">
      <c r="B26" s="15"/>
      <c r="C26" s="12" t="s">
        <v>75</v>
      </c>
      <c r="D26" s="973">
        <v>11</v>
      </c>
      <c r="E26" s="124">
        <v>35</v>
      </c>
      <c r="F26" s="124">
        <v>0</v>
      </c>
      <c r="G26" s="124">
        <v>-39</v>
      </c>
      <c r="H26" s="129"/>
      <c r="I26" s="124">
        <f>+'P&amp;L Group YTD'!I27</f>
        <v>0</v>
      </c>
      <c r="J26" s="124">
        <f>+'P&amp;L Group YTD'!J27-'P&amp;L Group by quarter'!I26</f>
        <v>-4</v>
      </c>
      <c r="K26" s="124">
        <f>+'P&amp;L Group YTD'!K27-'P&amp;L Group YTD'!J27</f>
        <v>0</v>
      </c>
      <c r="L26" s="303">
        <f>+'P&amp;L Group YTD'!L27-'P&amp;L Group YTD'!K27</f>
        <v>40</v>
      </c>
      <c r="M26" s="124"/>
      <c r="N26" s="124">
        <f>+'P&amp;L Group YTD'!N27</f>
        <v>-60</v>
      </c>
      <c r="O26" s="124">
        <f>+'P&amp;L Group YTD'!O27-'P&amp;L Group YTD'!N27</f>
        <v>-63</v>
      </c>
      <c r="P26" s="124">
        <f>+'P&amp;L Group YTD'!P27-'P&amp;L Group YTD'!O27</f>
        <v>-51</v>
      </c>
      <c r="Q26" s="124">
        <f>+'P&amp;L Group YTD'!Q27-'P&amp;L Group YTD'!P27</f>
        <v>-12</v>
      </c>
      <c r="R26" s="124"/>
      <c r="S26" s="124">
        <v>-75</v>
      </c>
      <c r="T26" s="124">
        <v>-73</v>
      </c>
      <c r="U26" s="124">
        <f>+'P&amp;L Group YTD'!U27-'P&amp;L Group YTD'!T27</f>
        <v>120</v>
      </c>
      <c r="V26" s="1465"/>
      <c r="W26" s="956"/>
    </row>
    <row r="27" spans="2:23" ht="12.75">
      <c r="B27" s="15"/>
      <c r="C27" s="13" t="s">
        <v>76</v>
      </c>
      <c r="D27" s="974">
        <v>772</v>
      </c>
      <c r="E27" s="125">
        <v>701</v>
      </c>
      <c r="F27" s="125">
        <v>878</v>
      </c>
      <c r="G27" s="125">
        <v>652</v>
      </c>
      <c r="H27" s="132"/>
      <c r="I27" s="125">
        <f>+'P&amp;L Group YTD'!I28</f>
        <v>775</v>
      </c>
      <c r="J27" s="125">
        <f>+'P&amp;L Group YTD'!J28-'P&amp;L Group by quarter'!I27</f>
        <v>727</v>
      </c>
      <c r="K27" s="125">
        <f>+'P&amp;L Group YTD'!K28-'P&amp;L Group YTD'!J28</f>
        <v>706</v>
      </c>
      <c r="L27" s="304">
        <f>+'P&amp;L Group YTD'!L28-'P&amp;L Group YTD'!K28</f>
        <v>247</v>
      </c>
      <c r="M27" s="125"/>
      <c r="N27" s="125">
        <f>+'P&amp;L Group YTD'!N28</f>
        <v>775</v>
      </c>
      <c r="O27" s="125">
        <f>+'P&amp;L Group YTD'!O28-'P&amp;L Group YTD'!N28</f>
        <v>727</v>
      </c>
      <c r="P27" s="125">
        <f>+'P&amp;L Group YTD'!P28-'P&amp;L Group YTD'!O28</f>
        <v>706</v>
      </c>
      <c r="Q27" s="125">
        <f>+'P&amp;L Group YTD'!Q28-'P&amp;L Group YTD'!P28</f>
        <v>247</v>
      </c>
      <c r="R27" s="125"/>
      <c r="S27" s="125">
        <v>482</v>
      </c>
      <c r="T27" s="125">
        <v>626</v>
      </c>
      <c r="U27" s="125">
        <f>+'P&amp;L Group YTD'!U28-'P&amp;L Group YTD'!T28</f>
        <v>623</v>
      </c>
      <c r="V27" s="1466"/>
      <c r="W27"/>
    </row>
    <row r="28" spans="2:23" ht="12.75">
      <c r="B28" s="15"/>
      <c r="C28" s="12" t="s">
        <v>79</v>
      </c>
      <c r="D28" s="976">
        <v>0.10318096765570703</v>
      </c>
      <c r="E28" s="127">
        <v>0.08926524894944607</v>
      </c>
      <c r="F28" s="127">
        <v>0.11301325781953919</v>
      </c>
      <c r="G28" s="127">
        <v>0.07979439481091666</v>
      </c>
      <c r="H28" s="129"/>
      <c r="I28" s="127">
        <f>+I27/I5</f>
        <v>0.10278514588859416</v>
      </c>
      <c r="J28" s="127">
        <f>+J27/J5</f>
        <v>0.09167717528373266</v>
      </c>
      <c r="K28" s="127">
        <f>+K27/K5</f>
        <v>0.09124983843867132</v>
      </c>
      <c r="L28" s="306">
        <f>+L27/L5</f>
        <v>0.030557961153037237</v>
      </c>
      <c r="M28" s="127"/>
      <c r="N28" s="127">
        <f>+N27/N5</f>
        <v>0.10367892976588629</v>
      </c>
      <c r="O28" s="127">
        <f>+O27/O5</f>
        <v>0.09247010938692445</v>
      </c>
      <c r="P28" s="127">
        <f>+P27/P5</f>
        <v>0.09208295291509065</v>
      </c>
      <c r="Q28" s="127">
        <f>+Q27/Q5</f>
        <v>0.03084030465726058</v>
      </c>
      <c r="R28" s="127"/>
      <c r="S28" s="127">
        <v>0.06604549191559331</v>
      </c>
      <c r="T28" s="127">
        <v>0.0830238726790451</v>
      </c>
      <c r="U28" s="127">
        <f>+U27/U$5</f>
        <v>0.08239650839836</v>
      </c>
      <c r="V28" s="1465"/>
      <c r="W28" s="956"/>
    </row>
    <row r="29" spans="2:23" ht="12.75">
      <c r="B29" s="15"/>
      <c r="C29" s="8" t="s">
        <v>77</v>
      </c>
      <c r="D29" s="973">
        <v>-28</v>
      </c>
      <c r="E29" s="124">
        <v>51</v>
      </c>
      <c r="F29" s="124">
        <v>2</v>
      </c>
      <c r="G29" s="124">
        <v>-14</v>
      </c>
      <c r="H29" s="129"/>
      <c r="I29" s="128"/>
      <c r="J29" s="124">
        <f>+'P&amp;L Group YTD'!J30-'P&amp;L Group by quarter'!I29</f>
        <v>-2</v>
      </c>
      <c r="K29" s="124">
        <f>+'P&amp;L Group YTD'!K30-'P&amp;L Group YTD'!J30</f>
        <v>14</v>
      </c>
      <c r="L29" s="303">
        <f>+'P&amp;L Group YTD'!L30-'P&amp;L Group YTD'!K30</f>
        <v>-19</v>
      </c>
      <c r="M29" s="124"/>
      <c r="N29" s="128">
        <f>+'P&amp;L Group YTD'!N30</f>
        <v>0</v>
      </c>
      <c r="O29" s="124">
        <f>+'P&amp;L Group YTD'!O30-'P&amp;L Group YTD'!N30</f>
        <v>-2</v>
      </c>
      <c r="P29" s="124">
        <f>+'P&amp;L Group YTD'!P30-'P&amp;L Group YTD'!O30</f>
        <v>14</v>
      </c>
      <c r="Q29" s="124">
        <f>+'P&amp;L Group YTD'!Q30-'P&amp;L Group YTD'!P30</f>
        <v>-19</v>
      </c>
      <c r="R29" s="124"/>
      <c r="S29" s="124">
        <f>+S30-S27</f>
        <v>19</v>
      </c>
      <c r="T29" s="124">
        <f>+T30-T27</f>
        <v>13</v>
      </c>
      <c r="U29" s="124">
        <f>+'P&amp;L Group YTD'!U30-'P&amp;L Group YTD'!T30</f>
        <v>7</v>
      </c>
      <c r="V29" s="1465"/>
      <c r="W29" s="956"/>
    </row>
    <row r="30" spans="2:23" ht="12.75">
      <c r="B30" s="15"/>
      <c r="C30" s="14" t="s">
        <v>78</v>
      </c>
      <c r="D30" s="974">
        <v>744</v>
      </c>
      <c r="E30" s="125">
        <v>752</v>
      </c>
      <c r="F30" s="125">
        <v>880</v>
      </c>
      <c r="G30" s="125">
        <v>638</v>
      </c>
      <c r="H30" s="129"/>
      <c r="I30" s="125">
        <f>+'P&amp;L Group YTD'!I31</f>
        <v>775</v>
      </c>
      <c r="J30" s="125">
        <f>+'P&amp;L Group YTD'!J31-'P&amp;L Group by quarter'!I30</f>
        <v>725</v>
      </c>
      <c r="K30" s="125">
        <f>+'P&amp;L Group YTD'!K31-'P&amp;L Group YTD'!J31</f>
        <v>720</v>
      </c>
      <c r="L30" s="304">
        <f>+'P&amp;L Group YTD'!L31-'P&amp;L Group YTD'!K31</f>
        <v>228</v>
      </c>
      <c r="M30" s="125"/>
      <c r="N30" s="125">
        <f>+'P&amp;L Group YTD'!N31</f>
        <v>775</v>
      </c>
      <c r="O30" s="125">
        <f>+'P&amp;L Group YTD'!O31-'P&amp;L Group YTD'!N31</f>
        <v>725</v>
      </c>
      <c r="P30" s="125">
        <f>+'P&amp;L Group YTD'!P31-'P&amp;L Group YTD'!O31</f>
        <v>720</v>
      </c>
      <c r="Q30" s="125">
        <f>+'P&amp;L Group YTD'!Q31-'P&amp;L Group YTD'!P31</f>
        <v>228</v>
      </c>
      <c r="R30" s="125"/>
      <c r="S30" s="125">
        <v>501</v>
      </c>
      <c r="T30" s="125">
        <v>639</v>
      </c>
      <c r="U30" s="125">
        <f>+'P&amp;L Group YTD'!U31-'P&amp;L Group YTD'!T31</f>
        <v>630</v>
      </c>
      <c r="V30" s="1465"/>
      <c r="W30" s="956"/>
    </row>
    <row r="31" spans="2:23" ht="12.75">
      <c r="B31" s="15"/>
      <c r="C31" s="12" t="s">
        <v>79</v>
      </c>
      <c r="D31" s="976">
        <v>0.09943865276663993</v>
      </c>
      <c r="E31" s="127">
        <v>0.09575958232522602</v>
      </c>
      <c r="F31" s="127">
        <v>0.11327069120864976</v>
      </c>
      <c r="G31" s="127">
        <v>0.07808101823522212</v>
      </c>
      <c r="H31" s="130"/>
      <c r="I31" s="127">
        <f>+I30/I5</f>
        <v>0.10278514588859416</v>
      </c>
      <c r="J31" s="127">
        <f>+J30/J5</f>
        <v>0.0914249684741488</v>
      </c>
      <c r="K31" s="127">
        <f>+K30/K5</f>
        <v>0.09305932531989143</v>
      </c>
      <c r="L31" s="306">
        <f>+L30/L5</f>
        <v>0.02820734875664976</v>
      </c>
      <c r="M31" s="127"/>
      <c r="N31" s="127">
        <f>+N30/N5</f>
        <v>0.10367892976588629</v>
      </c>
      <c r="O31" s="127">
        <f>+O30/O5</f>
        <v>0.09221572119053675</v>
      </c>
      <c r="P31" s="127">
        <f>+P30/P5</f>
        <v>0.09390896047997913</v>
      </c>
      <c r="Q31" s="127">
        <f>+Q30/Q5</f>
        <v>0.028467973529779</v>
      </c>
      <c r="R31" s="127"/>
      <c r="S31" s="127">
        <v>0.06864894491641546</v>
      </c>
      <c r="T31" s="127">
        <v>0.08474801061007957</v>
      </c>
      <c r="U31" s="127">
        <f>+U30/U$5</f>
        <v>0.08332231186351012</v>
      </c>
      <c r="V31" s="1465"/>
      <c r="W31" s="956"/>
    </row>
    <row r="32" spans="2:23" ht="12.75" customHeight="1">
      <c r="B32" s="15"/>
      <c r="C32" s="12"/>
      <c r="D32" s="976"/>
      <c r="E32" s="127"/>
      <c r="F32" s="127"/>
      <c r="G32" s="127"/>
      <c r="H32" s="130"/>
      <c r="I32" s="127"/>
      <c r="J32" s="127"/>
      <c r="K32" s="127"/>
      <c r="L32" s="306"/>
      <c r="M32" s="127"/>
      <c r="N32" s="127"/>
      <c r="O32" s="127"/>
      <c r="P32" s="127"/>
      <c r="Q32" s="127"/>
      <c r="R32" s="127"/>
      <c r="S32" s="127"/>
      <c r="T32" s="127"/>
      <c r="U32" s="127"/>
      <c r="V32" s="1436"/>
      <c r="W32" s="956"/>
    </row>
    <row r="33" spans="2:23" ht="12.75" customHeight="1">
      <c r="B33" s="15"/>
      <c r="C33" s="310" t="s">
        <v>368</v>
      </c>
      <c r="D33" s="977">
        <v>0</v>
      </c>
      <c r="E33" s="205">
        <v>0</v>
      </c>
      <c r="F33" s="205">
        <v>0</v>
      </c>
      <c r="G33" s="205">
        <v>0</v>
      </c>
      <c r="H33" s="206"/>
      <c r="I33" s="205">
        <f>+'P&amp;L Group YTD'!I34</f>
        <v>0</v>
      </c>
      <c r="J33" s="205">
        <f>+'P&amp;L Group YTD'!J34-'P&amp;L Group by quarter'!I33</f>
        <v>0</v>
      </c>
      <c r="K33" s="205">
        <f>+'P&amp;L Group YTD'!K34-'P&amp;L Group YTD'!J34</f>
        <v>0</v>
      </c>
      <c r="L33" s="978">
        <f>+'P&amp;L Group YTD'!L34-'P&amp;L Group YTD'!K34</f>
        <v>32</v>
      </c>
      <c r="M33" s="205"/>
      <c r="N33" s="205">
        <f>+N34-N5</f>
        <v>0</v>
      </c>
      <c r="O33" s="205">
        <f>+O34-O5</f>
        <v>0</v>
      </c>
      <c r="P33" s="205">
        <f>+P34-P5</f>
        <v>0</v>
      </c>
      <c r="Q33" s="205">
        <f>+Q34-Q5</f>
        <v>32</v>
      </c>
      <c r="R33" s="205"/>
      <c r="S33" s="205">
        <v>0</v>
      </c>
      <c r="T33" s="205">
        <v>24</v>
      </c>
      <c r="U33" s="1440">
        <v>0</v>
      </c>
      <c r="V33" s="1436"/>
      <c r="W33" s="956"/>
    </row>
    <row r="34" spans="2:23" ht="12.75">
      <c r="B34" s="15"/>
      <c r="C34" s="7" t="s">
        <v>331</v>
      </c>
      <c r="D34" s="974">
        <v>7482</v>
      </c>
      <c r="E34" s="125">
        <v>7853</v>
      </c>
      <c r="F34" s="125">
        <v>7769</v>
      </c>
      <c r="G34" s="125">
        <v>8171</v>
      </c>
      <c r="H34" s="129"/>
      <c r="I34" s="125">
        <f>+'P&amp;L Group YTD'!I35</f>
        <v>7540</v>
      </c>
      <c r="J34" s="125">
        <f>+'P&amp;L Group YTD'!J35-'P&amp;L Group by quarter'!I34</f>
        <v>7930</v>
      </c>
      <c r="K34" s="125">
        <f>+'P&amp;L Group YTD'!K35-'P&amp;L Group YTD'!J35</f>
        <v>7737</v>
      </c>
      <c r="L34" s="304">
        <f>+'P&amp;L Group YTD'!L35-'P&amp;L Group YTD'!K35</f>
        <v>8115</v>
      </c>
      <c r="M34" s="125"/>
      <c r="N34" s="253">
        <f>'Key fin. data by BU by quarter'!N27</f>
        <v>7475</v>
      </c>
      <c r="O34" s="253">
        <f>'Key fin. data by BU by quarter'!O27</f>
        <v>7862</v>
      </c>
      <c r="P34" s="253">
        <f>'Key fin. data by BU by quarter'!P27</f>
        <v>7667</v>
      </c>
      <c r="Q34" s="253">
        <f>'Key fin. data by BU by quarter'!Q27</f>
        <v>8041</v>
      </c>
      <c r="R34" s="253"/>
      <c r="S34" s="253">
        <v>7298</v>
      </c>
      <c r="T34" s="253">
        <v>7564</v>
      </c>
      <c r="U34" s="253">
        <f>+U5</f>
        <v>7561</v>
      </c>
      <c r="V34" s="1436"/>
      <c r="W34" s="956"/>
    </row>
    <row r="35" spans="2:23" ht="5.25" customHeight="1">
      <c r="B35" s="15"/>
      <c r="C35" s="10"/>
      <c r="D35" s="976"/>
      <c r="E35" s="127"/>
      <c r="F35" s="127"/>
      <c r="G35" s="127"/>
      <c r="H35" s="67"/>
      <c r="I35" s="67"/>
      <c r="J35" s="67"/>
      <c r="K35" s="67"/>
      <c r="L35" s="247"/>
      <c r="M35" s="67"/>
      <c r="N35" s="67"/>
      <c r="O35" s="67"/>
      <c r="P35" s="67"/>
      <c r="Q35" s="67"/>
      <c r="R35" s="67"/>
      <c r="S35" s="67"/>
      <c r="T35" s="67"/>
      <c r="U35" s="67"/>
      <c r="V35" s="1436"/>
      <c r="W35" s="956"/>
    </row>
    <row r="36" spans="2:23" ht="12.75" customHeight="1">
      <c r="B36" s="15"/>
      <c r="C36" s="310" t="s">
        <v>369</v>
      </c>
      <c r="D36" s="977">
        <v>41</v>
      </c>
      <c r="E36" s="205">
        <v>59</v>
      </c>
      <c r="F36" s="205">
        <v>19</v>
      </c>
      <c r="G36" s="205">
        <v>113</v>
      </c>
      <c r="H36" s="206"/>
      <c r="I36" s="950">
        <f>+'P&amp;L Group YTD'!I37</f>
        <v>37</v>
      </c>
      <c r="J36" s="205">
        <f>+'P&amp;L Group YTD'!J37-'P&amp;L Group by quarter'!I36</f>
        <v>101</v>
      </c>
      <c r="K36" s="205">
        <f>+'P&amp;L Group YTD'!K37-'P&amp;L Group YTD'!J37</f>
        <v>18</v>
      </c>
      <c r="L36" s="978">
        <f>+'P&amp;L Group YTD'!L37-'P&amp;L Group YTD'!K37</f>
        <v>640</v>
      </c>
      <c r="M36" s="205"/>
      <c r="N36" s="205">
        <f>+N37-N12</f>
        <v>0</v>
      </c>
      <c r="O36" s="205">
        <f>+O37-O12</f>
        <v>53</v>
      </c>
      <c r="P36" s="205">
        <f>+P37-P12</f>
        <v>0</v>
      </c>
      <c r="Q36" s="205">
        <f>+Q37-Q12</f>
        <v>566</v>
      </c>
      <c r="R36" s="205">
        <f>+R37-R12</f>
        <v>0</v>
      </c>
      <c r="S36" s="205">
        <v>12</v>
      </c>
      <c r="T36" s="205">
        <v>313</v>
      </c>
      <c r="U36" s="205">
        <v>10</v>
      </c>
      <c r="V36" s="1436"/>
      <c r="W36" s="956"/>
    </row>
    <row r="37" spans="2:23" ht="12.75">
      <c r="B37" s="15"/>
      <c r="C37" s="7" t="s">
        <v>318</v>
      </c>
      <c r="D37" s="974">
        <v>3336</v>
      </c>
      <c r="E37" s="125">
        <v>3282</v>
      </c>
      <c r="F37" s="125">
        <v>3287</v>
      </c>
      <c r="G37" s="125">
        <v>3177</v>
      </c>
      <c r="H37" s="129"/>
      <c r="I37" s="125">
        <f>+'P&amp;L Group YTD'!I38</f>
        <v>3191</v>
      </c>
      <c r="J37" s="125">
        <f>+'P&amp;L Group YTD'!J38-'P&amp;L Group by quarter'!I37</f>
        <v>3241</v>
      </c>
      <c r="K37" s="125">
        <f>+'P&amp;L Group YTD'!K38-'P&amp;L Group YTD'!J38</f>
        <v>3157</v>
      </c>
      <c r="L37" s="304">
        <f>+'P&amp;L Group YTD'!L38-'P&amp;L Group YTD'!K38</f>
        <v>2824</v>
      </c>
      <c r="M37" s="125"/>
      <c r="N37" s="125">
        <f>+'Key fin. data by BU by quarter'!N55</f>
        <v>3178</v>
      </c>
      <c r="O37" s="125">
        <f>+'Key fin. data by BU by quarter'!O55</f>
        <v>3210</v>
      </c>
      <c r="P37" s="125">
        <f>+'Key fin. data by BU by quarter'!P55</f>
        <v>3149</v>
      </c>
      <c r="Q37" s="125">
        <f>+'Key fin. data by BU by quarter'!Q55</f>
        <v>2750</v>
      </c>
      <c r="R37" s="125">
        <f>+'Key fin. data by BU by quarter'!R55</f>
        <v>0</v>
      </c>
      <c r="S37" s="125">
        <v>2978</v>
      </c>
      <c r="T37" s="125">
        <v>2882</v>
      </c>
      <c r="U37" s="125">
        <f>+U36+U12</f>
        <v>3097</v>
      </c>
      <c r="V37" s="1436"/>
      <c r="W37" s="956"/>
    </row>
    <row r="38" spans="2:23" ht="12.75">
      <c r="B38" s="15"/>
      <c r="C38" s="10" t="s">
        <v>67</v>
      </c>
      <c r="D38" s="976">
        <v>0.4458700882117081</v>
      </c>
      <c r="E38" s="127">
        <v>0.4179294537119572</v>
      </c>
      <c r="F38" s="127">
        <v>0.42309177500321793</v>
      </c>
      <c r="G38" s="127">
        <v>0.38881409864153715</v>
      </c>
      <c r="H38" s="127"/>
      <c r="I38" s="127">
        <f>+I37/I5</f>
        <v>0.42320954907161806</v>
      </c>
      <c r="J38" s="127">
        <f>+J37/J5</f>
        <v>0.40870113493064314</v>
      </c>
      <c r="K38" s="127">
        <f>+K37/K5</f>
        <v>0.4080392917151351</v>
      </c>
      <c r="L38" s="306">
        <f>+L37/L5</f>
        <v>0.3493752319683286</v>
      </c>
      <c r="M38" s="127"/>
      <c r="N38" s="127">
        <f>+N37/N34</f>
        <v>0.4251505016722408</v>
      </c>
      <c r="O38" s="127">
        <f>+O37/O34</f>
        <v>0.40829305520223863</v>
      </c>
      <c r="P38" s="127">
        <f>+P37/P34</f>
        <v>0.41072127298813094</v>
      </c>
      <c r="Q38" s="127">
        <f>+Q37/Q34</f>
        <v>0.34199726402188785</v>
      </c>
      <c r="R38" s="127"/>
      <c r="S38" s="127">
        <f>+S37/S34</f>
        <v>0.4080570019183338</v>
      </c>
      <c r="T38" s="127">
        <f>+T37/T34</f>
        <v>0.3810153358011634</v>
      </c>
      <c r="U38" s="127">
        <f>+U37/U34</f>
        <v>0.40960190450998546</v>
      </c>
      <c r="V38" s="1436"/>
      <c r="W38" s="956"/>
    </row>
    <row r="39" spans="2:23" ht="5.25" customHeight="1">
      <c r="B39" s="15"/>
      <c r="C39" s="10"/>
      <c r="D39" s="976"/>
      <c r="E39" s="127"/>
      <c r="F39" s="127"/>
      <c r="G39" s="127"/>
      <c r="H39" s="67"/>
      <c r="I39" s="67"/>
      <c r="J39" s="67"/>
      <c r="K39" s="67"/>
      <c r="L39" s="247"/>
      <c r="M39" s="67"/>
      <c r="N39" s="67"/>
      <c r="O39" s="67"/>
      <c r="P39" s="67"/>
      <c r="Q39" s="67"/>
      <c r="R39" s="67"/>
      <c r="S39" s="67"/>
      <c r="T39" s="67"/>
      <c r="U39" s="67"/>
      <c r="V39" s="1436"/>
      <c r="W39" s="956"/>
    </row>
    <row r="40" spans="2:23" ht="12.75">
      <c r="B40" s="15"/>
      <c r="C40" s="310" t="s">
        <v>371</v>
      </c>
      <c r="D40" s="977">
        <v>-71</v>
      </c>
      <c r="E40" s="205">
        <v>45</v>
      </c>
      <c r="F40" s="205">
        <v>28</v>
      </c>
      <c r="G40" s="205">
        <v>125</v>
      </c>
      <c r="H40" s="205">
        <v>0</v>
      </c>
      <c r="I40" s="205">
        <f>+'P&amp;L Group YTD'!I41</f>
        <v>27</v>
      </c>
      <c r="J40" s="205">
        <f>+'P&amp;L Group YTD'!J41-'P&amp;L Group by quarter'!I40</f>
        <v>99</v>
      </c>
      <c r="K40" s="205">
        <f>+'P&amp;L Group YTD'!K41-'P&amp;L Group YTD'!J41</f>
        <v>16</v>
      </c>
      <c r="L40" s="978">
        <f>+'P&amp;L Group YTD'!L41-'P&amp;L Group YTD'!K41</f>
        <v>645</v>
      </c>
      <c r="M40" s="205"/>
      <c r="N40" s="205">
        <f>+N41-N17</f>
        <v>-10</v>
      </c>
      <c r="O40" s="205">
        <f>+O41-O17</f>
        <v>52</v>
      </c>
      <c r="P40" s="205">
        <f>+P41-P17</f>
        <v>-2</v>
      </c>
      <c r="Q40" s="205">
        <f>+Q41-Q17</f>
        <v>569</v>
      </c>
      <c r="R40" s="205">
        <f>+R41-R17</f>
        <v>0</v>
      </c>
      <c r="S40" s="205">
        <v>-13</v>
      </c>
      <c r="T40" s="205">
        <v>313</v>
      </c>
      <c r="U40" s="205">
        <v>10</v>
      </c>
      <c r="V40" s="1436"/>
      <c r="W40" s="956"/>
    </row>
    <row r="41" spans="2:23" ht="12.75">
      <c r="B41" s="15"/>
      <c r="C41" s="7" t="s">
        <v>319</v>
      </c>
      <c r="D41" s="974">
        <v>1913</v>
      </c>
      <c r="E41" s="125">
        <v>1862</v>
      </c>
      <c r="F41" s="125">
        <v>1848</v>
      </c>
      <c r="G41" s="125">
        <v>1941</v>
      </c>
      <c r="H41" s="129"/>
      <c r="I41" s="125">
        <f>+'P&amp;L Group YTD'!I42</f>
        <v>1790</v>
      </c>
      <c r="J41" s="125">
        <f>+'P&amp;L Group YTD'!J42-'P&amp;L Group by quarter'!I41</f>
        <v>1785</v>
      </c>
      <c r="K41" s="125">
        <f>+'P&amp;L Group YTD'!K42-'P&amp;L Group YTD'!J42</f>
        <v>1705</v>
      </c>
      <c r="L41" s="304">
        <f>+'P&amp;L Group YTD'!L42-'P&amp;L Group YTD'!K42</f>
        <v>1271</v>
      </c>
      <c r="M41" s="125"/>
      <c r="N41" s="125">
        <f>+'Key fin. data by BU by quarter'!N96</f>
        <v>1807</v>
      </c>
      <c r="O41" s="125">
        <f>+'Key fin. data by BU by quarter'!O96</f>
        <v>1789</v>
      </c>
      <c r="P41" s="125">
        <f>+'Key fin. data by BU by quarter'!P96</f>
        <v>1731</v>
      </c>
      <c r="Q41" s="125">
        <f>+'Key fin. data by BU by quarter'!Q96</f>
        <v>1237</v>
      </c>
      <c r="R41" s="125">
        <f>+'Key fin. data by BU by quarter'!R96</f>
        <v>0</v>
      </c>
      <c r="S41" s="125">
        <v>1515</v>
      </c>
      <c r="T41" s="125">
        <v>1393</v>
      </c>
      <c r="U41" s="125">
        <f>+U40+U17</f>
        <v>1606</v>
      </c>
      <c r="V41" s="1436"/>
      <c r="W41" s="956"/>
    </row>
    <row r="42" spans="2:23" ht="12.75">
      <c r="B42" s="15"/>
      <c r="C42" s="10" t="s">
        <v>69</v>
      </c>
      <c r="D42" s="979">
        <v>0.2556802993851911</v>
      </c>
      <c r="E42" s="980">
        <v>0.2371068381510251</v>
      </c>
      <c r="F42" s="980">
        <v>0.2378684515381645</v>
      </c>
      <c r="G42" s="980">
        <v>0.2375474238159344</v>
      </c>
      <c r="H42" s="980"/>
      <c r="I42" s="980">
        <f>+I41/I5</f>
        <v>0.23740053050397877</v>
      </c>
      <c r="J42" s="980">
        <f>+J41/J5</f>
        <v>0.22509457755359394</v>
      </c>
      <c r="K42" s="980">
        <f>+K41/K5</f>
        <v>0.22036965232002068</v>
      </c>
      <c r="L42" s="981">
        <f>+L41/L5</f>
        <v>0.1572435976741309</v>
      </c>
      <c r="M42" s="127"/>
      <c r="N42" s="127">
        <f>+N41/N34</f>
        <v>0.2417391304347826</v>
      </c>
      <c r="O42" s="127">
        <f>+O41/O34</f>
        <v>0.22755024166878657</v>
      </c>
      <c r="P42" s="127">
        <f>+P41/P34</f>
        <v>0.22577279248728316</v>
      </c>
      <c r="Q42" s="127">
        <f>+Q41/Q34</f>
        <v>0.15383658748911827</v>
      </c>
      <c r="R42" s="127"/>
      <c r="S42" s="127">
        <f>+S41/S34</f>
        <v>0.2075911208550288</v>
      </c>
      <c r="T42" s="127">
        <f>+T41/T34</f>
        <v>0.18416181914331042</v>
      </c>
      <c r="U42" s="127">
        <f>+U41/U34</f>
        <v>0.2124057664330115</v>
      </c>
      <c r="V42" s="1436"/>
      <c r="W42" s="956"/>
    </row>
    <row r="43" spans="2:23" ht="4.5" customHeight="1">
      <c r="B43" s="15"/>
      <c r="C43" s="9"/>
      <c r="D43" s="67"/>
      <c r="E43" s="67"/>
      <c r="F43" s="67"/>
      <c r="G43" s="67"/>
      <c r="H43" s="67"/>
      <c r="I43" s="67"/>
      <c r="J43" s="67"/>
      <c r="K43" s="67"/>
      <c r="L43" s="67"/>
      <c r="M43" s="67"/>
      <c r="N43" s="67"/>
      <c r="O43" s="67"/>
      <c r="P43" s="67"/>
      <c r="Q43" s="67"/>
      <c r="R43" s="67"/>
      <c r="S43" s="67"/>
      <c r="T43" s="67"/>
      <c r="U43" s="67"/>
      <c r="V43" s="1465"/>
      <c r="W43" s="956"/>
    </row>
    <row r="44" spans="2:22" ht="13.5" customHeight="1">
      <c r="B44" s="134"/>
      <c r="C44" s="961"/>
      <c r="D44" s="961"/>
      <c r="E44" s="961"/>
      <c r="F44" s="961"/>
      <c r="G44" s="961"/>
      <c r="H44" s="961"/>
      <c r="I44" s="961"/>
      <c r="J44" s="961"/>
      <c r="K44" s="961"/>
      <c r="L44" s="961"/>
      <c r="M44" s="961"/>
      <c r="N44" s="961"/>
      <c r="O44" s="422"/>
      <c r="P44" s="422"/>
      <c r="Q44" s="422"/>
      <c r="R44" s="422"/>
      <c r="S44" s="422"/>
      <c r="T44" s="422"/>
      <c r="U44" s="422"/>
      <c r="V44" s="1436"/>
    </row>
    <row r="45" spans="2:22" ht="13.5" customHeight="1">
      <c r="B45" s="134"/>
      <c r="C45" s="1408" t="s">
        <v>531</v>
      </c>
      <c r="D45" s="963"/>
      <c r="E45" s="963"/>
      <c r="F45" s="963"/>
      <c r="G45" s="963"/>
      <c r="H45" s="964"/>
      <c r="I45" s="963"/>
      <c r="J45" s="963"/>
      <c r="K45" s="965"/>
      <c r="L45" s="965"/>
      <c r="M45" s="965"/>
      <c r="N45" s="963"/>
      <c r="O45" s="963"/>
      <c r="P45" s="965"/>
      <c r="Q45" s="965"/>
      <c r="R45" s="965"/>
      <c r="S45" s="965"/>
      <c r="T45" s="965"/>
      <c r="U45" s="965"/>
      <c r="V45" s="1436"/>
    </row>
    <row r="46" spans="2:22" ht="12.75">
      <c r="B46" s="134"/>
      <c r="C46" s="1409" t="s">
        <v>532</v>
      </c>
      <c r="D46" s="966"/>
      <c r="E46" s="966"/>
      <c r="F46" s="966"/>
      <c r="G46" s="966"/>
      <c r="H46" s="133"/>
      <c r="I46" s="966"/>
      <c r="J46" s="966"/>
      <c r="K46" s="179"/>
      <c r="L46" s="179"/>
      <c r="M46" s="179"/>
      <c r="N46" s="966"/>
      <c r="O46" s="966"/>
      <c r="P46" s="179"/>
      <c r="Q46" s="179"/>
      <c r="R46" s="179"/>
      <c r="S46" s="179"/>
      <c r="T46" s="179"/>
      <c r="U46" s="179"/>
      <c r="V46" s="1436"/>
    </row>
    <row r="47" spans="2:22" ht="5.25" customHeight="1">
      <c r="B47" s="1203"/>
      <c r="C47" s="1205"/>
      <c r="D47" s="1204"/>
      <c r="E47" s="1204"/>
      <c r="F47" s="1204"/>
      <c r="G47" s="1204"/>
      <c r="H47" s="1205"/>
      <c r="I47" s="1204"/>
      <c r="J47" s="1204"/>
      <c r="K47" s="1204"/>
      <c r="L47" s="1204"/>
      <c r="M47" s="1205"/>
      <c r="N47" s="1204"/>
      <c r="O47" s="1204"/>
      <c r="P47" s="1204"/>
      <c r="Q47" s="1204"/>
      <c r="R47" s="1205"/>
      <c r="S47" s="1204"/>
      <c r="T47" s="1204"/>
      <c r="U47" s="1204"/>
      <c r="V47" s="1468"/>
    </row>
  </sheetData>
  <sheetProtection password="DAD6" sheet="1" formatCells="0" formatColumns="0" formatRows="0" insertColumns="0" insertRows="0" insertHyperlinks="0" deleteColumns="0" deleteRows="0" sort="0" autoFilter="0" pivotTables="0"/>
  <protectedRanges>
    <protectedRange sqref="G17" name="Intervallo1"/>
  </protectedRanges>
  <mergeCells count="3">
    <mergeCell ref="B1:C1"/>
    <mergeCell ref="D3:L3"/>
    <mergeCell ref="N3:Q3"/>
  </mergeCells>
  <hyperlinks>
    <hyperlink ref="C40" location="'Rep&amp;org. fig. YTD'!G6" display="Exceptional items on EBITDA (aka &quot;other non organic items&quot;)"/>
    <hyperlink ref="C36" location="'Rep&amp;org. fig. YTD'!G6" display="Exceptional items on EBITDA (aka &quot;other non organic items&quot;)"/>
    <hyperlink ref="C33" location="'Rep&amp;org. fig. YTD'!G6" display="Exceptional items on EBITDA (aka &quot;other non organic items&quot;)"/>
    <hyperlink ref="X10" location="'Domestic Business Results'!A1" display="Domestic Business Results"/>
    <hyperlink ref="X11" location="'Domestic Wireline Results'!A1" display="Domestic Wireline Results"/>
    <hyperlink ref="X12" location="'Domestic Mobile Results'!A1" display="Domestic Mobile Results"/>
    <hyperlink ref="X13" location="'TIM Brasil Results'!A1" display="TIM Brasil Results"/>
    <hyperlink ref="X14" location="'European BroadBand'!A1" display="European BroadBand"/>
    <hyperlink ref="X18" location="'Main Group''s Subsidiries'!A1" display="Main Group's Subsidiaries"/>
    <hyperlink ref="X6" location="'Key fin data by BU YTD'!A1" display="Key Financial data by BU YTD"/>
    <hyperlink ref="X19" location="'Analyst Tools'!A1" display="Analyst Tools"/>
    <hyperlink ref="X20" location="'Historic Data'!A1" display="Historic Data"/>
    <hyperlink ref="X7" location="'Key fin. data by BU by quarter'!A1" display="Key Financial data by quarter"/>
    <hyperlink ref="X5" location="'P&amp;L Group YTD'!A1" display="P&amp;L Group YTD"/>
    <hyperlink ref="X8" location="'Balance Sheet'!A1" display="Balance Sheet"/>
    <hyperlink ref="X9" location="'Cashflow Statement'!A1" display="Cashflow Statement"/>
    <hyperlink ref="X15" location="'1Q Rep&amp;org.'!A1" display="Repoerted &amp; Organic figures"/>
    <hyperlink ref="X16" location="'2Q Rep&amp;org.'!A1" display="Reported &amp; Organic figures 2Q08 vs 2Q07"/>
    <hyperlink ref="X17" location="'3Q Rep&amp;org.'!A1" display="Reported &amp; Organic figures 3Q08 vs 3Q07"/>
    <hyperlink ref="X21" location="Cover!A1" display="Cover"/>
  </hyperlinks>
  <printOptions horizontalCentered="1" verticalCentered="1"/>
  <pageMargins left="0" right="0" top="0" bottom="0" header="0.5118110236220472" footer="0.31496062992125984"/>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codeName="Foglio4"/>
  <dimension ref="B1:Y124"/>
  <sheetViews>
    <sheetView showGridLines="0" zoomScaleSheetLayoutView="70" workbookViewId="0" topLeftCell="A1">
      <selection activeCell="C2" sqref="C2"/>
    </sheetView>
  </sheetViews>
  <sheetFormatPr defaultColWidth="9.140625" defaultRowHeight="12.75"/>
  <cols>
    <col min="1" max="1" width="0.9921875" style="3" customWidth="1"/>
    <col min="2" max="2" width="2.7109375" style="3" customWidth="1"/>
    <col min="3" max="3" width="50.00390625" style="3" customWidth="1"/>
    <col min="4" max="4" width="8.57421875" style="3" hidden="1" customWidth="1"/>
    <col min="5" max="6" width="10.00390625" style="3" hidden="1" customWidth="1"/>
    <col min="7" max="7" width="9.7109375" style="34" hidden="1" customWidth="1"/>
    <col min="8" max="8" width="1.1484375" style="34" hidden="1" customWidth="1"/>
    <col min="9" max="9" width="8.7109375" style="3" hidden="1" customWidth="1"/>
    <col min="10" max="12" width="11.57421875" style="34" hidden="1" customWidth="1"/>
    <col min="13" max="13" width="2.00390625" style="34" customWidth="1"/>
    <col min="14" max="14" width="8.00390625" style="3" customWidth="1"/>
    <col min="15" max="17" width="11.57421875" style="34" customWidth="1"/>
    <col min="18" max="18" width="1.421875" style="34" customWidth="1"/>
    <col min="19" max="21" width="11.57421875" style="34" customWidth="1"/>
    <col min="22" max="22" width="2.7109375" style="3" customWidth="1"/>
    <col min="23" max="23" width="1.421875" style="3" customWidth="1"/>
    <col min="24" max="24" width="33.140625" style="3" customWidth="1"/>
    <col min="25" max="16384" width="9.140625" style="3" customWidth="1"/>
  </cols>
  <sheetData>
    <row r="1" spans="3:5" ht="12.75">
      <c r="C1" s="968"/>
      <c r="D1" s="968"/>
      <c r="E1" s="2"/>
    </row>
    <row r="2" spans="2:22" ht="46.5" customHeight="1">
      <c r="B2" s="960"/>
      <c r="C2" s="957"/>
      <c r="D2" s="957"/>
      <c r="E2" s="957"/>
      <c r="F2" s="957"/>
      <c r="G2" s="957"/>
      <c r="H2" s="957"/>
      <c r="I2" s="957"/>
      <c r="J2" s="957"/>
      <c r="K2" s="957"/>
      <c r="L2" s="957"/>
      <c r="M2" s="957"/>
      <c r="N2" s="957"/>
      <c r="O2" s="957"/>
      <c r="P2" s="957"/>
      <c r="Q2" s="957"/>
      <c r="R2" s="957"/>
      <c r="S2" s="957"/>
      <c r="T2" s="957"/>
      <c r="U2" s="957"/>
      <c r="V2" s="958"/>
    </row>
    <row r="3" spans="2:24" ht="42.75" customHeight="1">
      <c r="B3" s="962"/>
      <c r="C3" s="151"/>
      <c r="D3" s="1507" t="s">
        <v>342</v>
      </c>
      <c r="E3" s="1508"/>
      <c r="F3" s="1508"/>
      <c r="G3" s="1508"/>
      <c r="H3" s="1508"/>
      <c r="I3" s="1508"/>
      <c r="J3" s="1508"/>
      <c r="K3" s="1508"/>
      <c r="L3" s="1509"/>
      <c r="M3" s="151"/>
      <c r="N3" s="1506" t="s">
        <v>367</v>
      </c>
      <c r="O3" s="1506"/>
      <c r="P3" s="1506"/>
      <c r="Q3" s="1506"/>
      <c r="R3" s="1506"/>
      <c r="S3" s="1506"/>
      <c r="T3" s="115"/>
      <c r="U3" s="115"/>
      <c r="V3" s="186"/>
      <c r="X3" s="30" t="s">
        <v>59</v>
      </c>
    </row>
    <row r="4" spans="2:24" ht="12.75">
      <c r="B4" s="15"/>
      <c r="C4" s="35" t="s">
        <v>140</v>
      </c>
      <c r="D4" s="18" t="s">
        <v>2</v>
      </c>
      <c r="E4" s="18" t="s">
        <v>86</v>
      </c>
      <c r="F4" s="18" t="s">
        <v>87</v>
      </c>
      <c r="G4" s="18" t="s">
        <v>88</v>
      </c>
      <c r="H4" s="24"/>
      <c r="I4" s="17" t="s">
        <v>6</v>
      </c>
      <c r="J4" s="17" t="s">
        <v>148</v>
      </c>
      <c r="K4" s="17" t="s">
        <v>149</v>
      </c>
      <c r="L4" s="17" t="s">
        <v>226</v>
      </c>
      <c r="M4" s="32"/>
      <c r="N4" s="17" t="s">
        <v>6</v>
      </c>
      <c r="O4" s="17" t="s">
        <v>148</v>
      </c>
      <c r="P4" s="17" t="s">
        <v>149</v>
      </c>
      <c r="Q4" s="17" t="s">
        <v>226</v>
      </c>
      <c r="R4" s="32"/>
      <c r="S4" s="18" t="s">
        <v>339</v>
      </c>
      <c r="T4" s="18" t="s">
        <v>434</v>
      </c>
      <c r="U4" s="18" t="s">
        <v>536</v>
      </c>
      <c r="V4" s="23"/>
      <c r="X4" s="31" t="s">
        <v>56</v>
      </c>
    </row>
    <row r="5" spans="2:24" ht="12.75">
      <c r="B5" s="15"/>
      <c r="C5" s="29" t="s">
        <v>7</v>
      </c>
      <c r="D5" s="982">
        <v>6297</v>
      </c>
      <c r="E5" s="251">
        <v>12877</v>
      </c>
      <c r="F5" s="251">
        <v>19223</v>
      </c>
      <c r="G5" s="254">
        <v>25785</v>
      </c>
      <c r="H5" s="207"/>
      <c r="I5" s="208">
        <v>6009</v>
      </c>
      <c r="J5" s="208">
        <v>12182</v>
      </c>
      <c r="K5" s="208">
        <v>18108</v>
      </c>
      <c r="L5" s="983">
        <v>24220</v>
      </c>
      <c r="M5" s="208"/>
      <c r="N5" s="208">
        <v>6009</v>
      </c>
      <c r="O5" s="208">
        <v>12182</v>
      </c>
      <c r="P5" s="208">
        <v>18108</v>
      </c>
      <c r="Q5" s="208">
        <v>24220</v>
      </c>
      <c r="R5" s="208"/>
      <c r="S5" s="208">
        <v>5619</v>
      </c>
      <c r="T5" s="208">
        <v>11420</v>
      </c>
      <c r="U5" s="208">
        <f>+T5+'Key fin. data by BU by quarter'!U6</f>
        <v>17154</v>
      </c>
      <c r="V5" s="23"/>
      <c r="X5" s="139" t="s">
        <v>206</v>
      </c>
    </row>
    <row r="6" spans="2:24" ht="12.75">
      <c r="B6" s="15"/>
      <c r="C6" s="37" t="s">
        <v>145</v>
      </c>
      <c r="D6" s="982">
        <v>4286</v>
      </c>
      <c r="E6" s="251">
        <v>8599</v>
      </c>
      <c r="F6" s="251">
        <v>12707</v>
      </c>
      <c r="G6" s="251">
        <v>16988</v>
      </c>
      <c r="H6" s="207"/>
      <c r="I6" s="208">
        <v>3989</v>
      </c>
      <c r="J6" s="208">
        <v>7983</v>
      </c>
      <c r="K6" s="208">
        <v>11748</v>
      </c>
      <c r="L6" s="983">
        <v>15727</v>
      </c>
      <c r="M6" s="208"/>
      <c r="N6" s="208">
        <v>3989</v>
      </c>
      <c r="O6" s="208">
        <v>7983</v>
      </c>
      <c r="P6" s="208">
        <v>11748</v>
      </c>
      <c r="Q6" s="208">
        <v>15727</v>
      </c>
      <c r="R6" s="208"/>
      <c r="S6" s="208">
        <v>3746</v>
      </c>
      <c r="T6" s="208">
        <v>7485</v>
      </c>
      <c r="U6" s="208">
        <f>+T6+'Key fin. data by BU by quarter'!U7</f>
        <v>11128</v>
      </c>
      <c r="V6" s="23"/>
      <c r="X6" s="139" t="s">
        <v>208</v>
      </c>
    </row>
    <row r="7" spans="2:24" ht="12.75">
      <c r="B7" s="15"/>
      <c r="C7" s="37" t="s">
        <v>130</v>
      </c>
      <c r="D7" s="982">
        <v>2370</v>
      </c>
      <c r="E7" s="251">
        <v>4982</v>
      </c>
      <c r="F7" s="251">
        <v>7565</v>
      </c>
      <c r="G7" s="251">
        <v>10210</v>
      </c>
      <c r="H7" s="207"/>
      <c r="I7" s="208">
        <v>2365</v>
      </c>
      <c r="J7" s="208">
        <v>4916</v>
      </c>
      <c r="K7" s="208">
        <v>7429</v>
      </c>
      <c r="L7" s="983">
        <v>9922</v>
      </c>
      <c r="M7" s="208"/>
      <c r="N7" s="208">
        <v>2365</v>
      </c>
      <c r="O7" s="208">
        <v>4916</v>
      </c>
      <c r="P7" s="208">
        <v>7429</v>
      </c>
      <c r="Q7" s="208">
        <v>9922</v>
      </c>
      <c r="R7" s="208"/>
      <c r="S7" s="208">
        <v>2236</v>
      </c>
      <c r="T7" s="208">
        <v>4669</v>
      </c>
      <c r="U7" s="208">
        <f>+T7+'Key fin. data by BU by quarter'!U8</f>
        <v>7120</v>
      </c>
      <c r="V7" s="23"/>
      <c r="X7" s="139" t="s">
        <v>223</v>
      </c>
    </row>
    <row r="8" spans="2:24" ht="12.75">
      <c r="B8" s="15"/>
      <c r="C8" s="29" t="s">
        <v>8</v>
      </c>
      <c r="D8" s="982">
        <v>204</v>
      </c>
      <c r="E8" s="251">
        <v>427</v>
      </c>
      <c r="F8" s="251">
        <v>662</v>
      </c>
      <c r="G8" s="251">
        <v>915</v>
      </c>
      <c r="H8" s="207"/>
      <c r="I8" s="208">
        <v>304</v>
      </c>
      <c r="J8" s="208">
        <v>695</v>
      </c>
      <c r="K8" s="208">
        <v>1106</v>
      </c>
      <c r="L8" s="983">
        <v>1545</v>
      </c>
      <c r="M8" s="208"/>
      <c r="N8" s="208">
        <v>216</v>
      </c>
      <c r="O8" s="208">
        <v>512</v>
      </c>
      <c r="P8" s="208">
        <v>824</v>
      </c>
      <c r="Q8" s="208">
        <v>1151</v>
      </c>
      <c r="R8" s="208"/>
      <c r="S8" s="208">
        <v>323</v>
      </c>
      <c r="T8" s="208">
        <v>642</v>
      </c>
      <c r="U8" s="208">
        <f>+T8+'Key fin. data by BU by quarter'!U9</f>
        <v>961</v>
      </c>
      <c r="V8" s="23"/>
      <c r="X8" s="139" t="s">
        <v>310</v>
      </c>
    </row>
    <row r="9" spans="2:24" ht="12.75">
      <c r="B9" s="15"/>
      <c r="C9" s="29" t="s">
        <v>31</v>
      </c>
      <c r="D9" s="982">
        <v>837</v>
      </c>
      <c r="E9" s="251">
        <v>1722</v>
      </c>
      <c r="F9" s="251">
        <v>2792</v>
      </c>
      <c r="G9" s="251">
        <v>3964</v>
      </c>
      <c r="H9" s="207"/>
      <c r="I9" s="208">
        <v>1100</v>
      </c>
      <c r="J9" s="208">
        <v>2322</v>
      </c>
      <c r="K9" s="208">
        <v>3603</v>
      </c>
      <c r="L9" s="983">
        <v>4990</v>
      </c>
      <c r="M9" s="208"/>
      <c r="N9" s="208">
        <v>1100</v>
      </c>
      <c r="O9" s="208">
        <v>2322</v>
      </c>
      <c r="P9" s="208">
        <v>3603</v>
      </c>
      <c r="Q9" s="208">
        <v>4990</v>
      </c>
      <c r="R9" s="208"/>
      <c r="S9" s="208">
        <v>1224</v>
      </c>
      <c r="T9" s="208">
        <v>2537</v>
      </c>
      <c r="U9" s="208">
        <f>+T9+'Key fin. data by BU by quarter'!U10</f>
        <v>3973</v>
      </c>
      <c r="V9" s="23"/>
      <c r="X9" s="139" t="s">
        <v>311</v>
      </c>
    </row>
    <row r="10" spans="2:24" ht="12.75">
      <c r="B10" s="15"/>
      <c r="C10" s="29" t="s">
        <v>89</v>
      </c>
      <c r="D10" s="982">
        <v>44</v>
      </c>
      <c r="E10" s="251">
        <v>98</v>
      </c>
      <c r="F10" s="251">
        <v>136</v>
      </c>
      <c r="G10" s="251">
        <v>207</v>
      </c>
      <c r="H10" s="207"/>
      <c r="I10" s="208">
        <v>58</v>
      </c>
      <c r="J10" s="208">
        <v>125</v>
      </c>
      <c r="K10" s="208">
        <v>178</v>
      </c>
      <c r="L10" s="983">
        <v>263</v>
      </c>
      <c r="M10" s="208"/>
      <c r="N10" s="208">
        <v>58</v>
      </c>
      <c r="O10" s="208">
        <v>125</v>
      </c>
      <c r="P10" s="208">
        <v>178</v>
      </c>
      <c r="Q10" s="208">
        <v>263</v>
      </c>
      <c r="R10" s="208"/>
      <c r="S10" s="208">
        <v>74</v>
      </c>
      <c r="T10" s="208">
        <v>148</v>
      </c>
      <c r="U10" s="208">
        <f>+T10+'Key fin. data by BU by quarter'!U11</f>
        <v>210</v>
      </c>
      <c r="V10" s="23"/>
      <c r="X10" s="139" t="s">
        <v>12</v>
      </c>
    </row>
    <row r="11" spans="2:25" ht="12.75">
      <c r="B11" s="15"/>
      <c r="C11" s="29" t="s">
        <v>9</v>
      </c>
      <c r="D11" s="982">
        <v>94</v>
      </c>
      <c r="E11" s="251">
        <v>212</v>
      </c>
      <c r="F11" s="251">
        <v>298</v>
      </c>
      <c r="G11" s="251">
        <v>440</v>
      </c>
      <c r="H11" s="207"/>
      <c r="I11" s="208">
        <v>83</v>
      </c>
      <c r="J11" s="208">
        <v>192</v>
      </c>
      <c r="K11" s="208">
        <v>283</v>
      </c>
      <c r="L11" s="983">
        <v>408</v>
      </c>
      <c r="M11" s="208"/>
      <c r="N11" s="208">
        <v>83</v>
      </c>
      <c r="O11" s="208">
        <v>192</v>
      </c>
      <c r="P11" s="208">
        <v>283</v>
      </c>
      <c r="Q11" s="208">
        <v>408</v>
      </c>
      <c r="R11" s="208"/>
      <c r="S11" s="208">
        <v>83</v>
      </c>
      <c r="T11" s="208">
        <v>180</v>
      </c>
      <c r="U11" s="208">
        <f>+T11+'Key fin. data by BU by quarter'!U12</f>
        <v>252</v>
      </c>
      <c r="V11" s="23"/>
      <c r="X11" s="139" t="s">
        <v>220</v>
      </c>
      <c r="Y11" s="4"/>
    </row>
    <row r="12" spans="2:25" s="4" customFormat="1" ht="12.75">
      <c r="B12" s="484"/>
      <c r="C12" s="28" t="s">
        <v>338</v>
      </c>
      <c r="D12" s="982">
        <v>6</v>
      </c>
      <c r="E12" s="251">
        <v>-1</v>
      </c>
      <c r="F12" s="251">
        <v>-7</v>
      </c>
      <c r="G12" s="251">
        <v>-36</v>
      </c>
      <c r="H12" s="251"/>
      <c r="I12" s="208">
        <v>-14</v>
      </c>
      <c r="J12" s="208">
        <v>-46</v>
      </c>
      <c r="K12" s="208">
        <v>-71</v>
      </c>
      <c r="L12" s="983">
        <v>-136</v>
      </c>
      <c r="M12" s="251"/>
      <c r="N12" s="251">
        <v>9</v>
      </c>
      <c r="O12" s="251">
        <v>4</v>
      </c>
      <c r="P12" s="251">
        <v>8</v>
      </c>
      <c r="Q12" s="251">
        <v>-19</v>
      </c>
      <c r="R12" s="251"/>
      <c r="S12" s="251">
        <v>-25</v>
      </c>
      <c r="T12" s="251">
        <v>-89</v>
      </c>
      <c r="U12" s="251">
        <f>+T12+'Key fin. data by BU by quarter'!U13</f>
        <v>-151</v>
      </c>
      <c r="V12" s="192"/>
      <c r="X12" s="139" t="s">
        <v>221</v>
      </c>
      <c r="Y12" s="3"/>
    </row>
    <row r="13" spans="2:24" ht="12.75">
      <c r="B13" s="15"/>
      <c r="C13" s="7" t="s">
        <v>10</v>
      </c>
      <c r="D13" s="984">
        <v>7482</v>
      </c>
      <c r="E13" s="253">
        <v>15335</v>
      </c>
      <c r="F13" s="253">
        <v>23104</v>
      </c>
      <c r="G13" s="252">
        <v>31275</v>
      </c>
      <c r="H13" s="210"/>
      <c r="I13" s="252">
        <v>7540</v>
      </c>
      <c r="J13" s="253">
        <v>15470</v>
      </c>
      <c r="K13" s="253">
        <v>23207</v>
      </c>
      <c r="L13" s="985">
        <v>31290</v>
      </c>
      <c r="M13" s="209"/>
      <c r="N13" s="209">
        <v>7475</v>
      </c>
      <c r="O13" s="209">
        <v>15337</v>
      </c>
      <c r="P13" s="209">
        <v>23004</v>
      </c>
      <c r="Q13" s="209">
        <v>31013</v>
      </c>
      <c r="R13" s="209"/>
      <c r="S13" s="209">
        <v>7298</v>
      </c>
      <c r="T13" s="209">
        <v>14838</v>
      </c>
      <c r="U13" s="209">
        <f>+T13+'Key fin. data by BU by quarter'!U14</f>
        <v>22399</v>
      </c>
      <c r="V13" s="23"/>
      <c r="X13" s="139" t="s">
        <v>222</v>
      </c>
    </row>
    <row r="14" spans="2:24" ht="12.75">
      <c r="B14" s="15"/>
      <c r="C14" s="40"/>
      <c r="D14" s="986"/>
      <c r="E14" s="324"/>
      <c r="F14" s="324"/>
      <c r="G14" s="324"/>
      <c r="H14" s="325"/>
      <c r="I14" s="326"/>
      <c r="J14" s="326"/>
      <c r="K14" s="326"/>
      <c r="L14" s="987"/>
      <c r="M14" s="326"/>
      <c r="N14" s="326"/>
      <c r="O14" s="326"/>
      <c r="P14" s="326"/>
      <c r="Q14" s="326"/>
      <c r="R14" s="326"/>
      <c r="S14" s="326"/>
      <c r="T14" s="326"/>
      <c r="U14" s="326"/>
      <c r="V14" s="23"/>
      <c r="X14" s="139" t="s">
        <v>8</v>
      </c>
    </row>
    <row r="15" spans="2:24" ht="12.75">
      <c r="B15" s="15"/>
      <c r="C15" s="309" t="s">
        <v>372</v>
      </c>
      <c r="D15" s="977"/>
      <c r="E15" s="205"/>
      <c r="F15" s="205"/>
      <c r="G15" s="205"/>
      <c r="H15" s="217"/>
      <c r="I15" s="205"/>
      <c r="J15" s="205"/>
      <c r="K15" s="205"/>
      <c r="L15" s="978"/>
      <c r="M15" s="205"/>
      <c r="N15" s="205"/>
      <c r="O15" s="205"/>
      <c r="P15" s="205"/>
      <c r="Q15" s="205">
        <v>32</v>
      </c>
      <c r="R15" s="205">
        <v>0</v>
      </c>
      <c r="S15" s="205">
        <v>0</v>
      </c>
      <c r="T15" s="205">
        <v>24</v>
      </c>
      <c r="U15" s="205">
        <f>+T15</f>
        <v>24</v>
      </c>
      <c r="V15" s="23"/>
      <c r="X15" s="139" t="s">
        <v>534</v>
      </c>
    </row>
    <row r="16" spans="2:24" ht="12.75">
      <c r="B16" s="15"/>
      <c r="C16" s="41"/>
      <c r="D16" s="988"/>
      <c r="E16" s="328"/>
      <c r="F16" s="327"/>
      <c r="G16" s="329"/>
      <c r="H16" s="330"/>
      <c r="I16" s="331"/>
      <c r="J16" s="331"/>
      <c r="K16" s="331"/>
      <c r="L16" s="989"/>
      <c r="M16" s="331"/>
      <c r="N16" s="331"/>
      <c r="O16" s="331"/>
      <c r="P16" s="331"/>
      <c r="Q16" s="331"/>
      <c r="R16" s="331"/>
      <c r="S16" s="331"/>
      <c r="T16" s="331"/>
      <c r="U16" s="331"/>
      <c r="V16" s="23"/>
      <c r="X16" s="139" t="s">
        <v>535</v>
      </c>
    </row>
    <row r="17" spans="2:24" ht="12.75">
      <c r="B17" s="15"/>
      <c r="C17" s="40" t="s">
        <v>335</v>
      </c>
      <c r="D17" s="784"/>
      <c r="E17" s="332"/>
      <c r="F17" s="332"/>
      <c r="G17" s="333"/>
      <c r="H17" s="334"/>
      <c r="I17" s="335"/>
      <c r="J17" s="335"/>
      <c r="K17" s="335"/>
      <c r="L17" s="990"/>
      <c r="M17" s="335"/>
      <c r="N17" s="335"/>
      <c r="O17" s="335"/>
      <c r="P17" s="335"/>
      <c r="Q17" s="335"/>
      <c r="R17" s="335"/>
      <c r="S17" s="335"/>
      <c r="T17" s="335"/>
      <c r="U17" s="335"/>
      <c r="V17" s="23"/>
      <c r="X17" s="139" t="s">
        <v>545</v>
      </c>
    </row>
    <row r="18" spans="2:24" ht="12.75">
      <c r="B18" s="15"/>
      <c r="C18" s="28" t="s">
        <v>7</v>
      </c>
      <c r="D18" s="991">
        <v>6297</v>
      </c>
      <c r="E18" s="254">
        <v>12877</v>
      </c>
      <c r="F18" s="254">
        <v>19223</v>
      </c>
      <c r="G18" s="254">
        <v>25785</v>
      </c>
      <c r="H18" s="207"/>
      <c r="I18" s="208">
        <v>6009</v>
      </c>
      <c r="J18" s="208">
        <v>12182</v>
      </c>
      <c r="K18" s="208">
        <v>18108</v>
      </c>
      <c r="L18" s="983">
        <v>24252</v>
      </c>
      <c r="M18" s="256"/>
      <c r="N18" s="256">
        <v>6009</v>
      </c>
      <c r="O18" s="256">
        <v>12182</v>
      </c>
      <c r="P18" s="256">
        <v>18108</v>
      </c>
      <c r="Q18" s="256">
        <v>24252</v>
      </c>
      <c r="R18" s="256"/>
      <c r="S18" s="256">
        <v>5619</v>
      </c>
      <c r="T18" s="256">
        <v>11444</v>
      </c>
      <c r="U18" s="256">
        <f>+U5+U15</f>
        <v>17178</v>
      </c>
      <c r="V18" s="23"/>
      <c r="X18" s="139" t="s">
        <v>109</v>
      </c>
    </row>
    <row r="19" spans="2:24" ht="12.75">
      <c r="B19" s="15"/>
      <c r="C19" s="870" t="s">
        <v>145</v>
      </c>
      <c r="D19" s="991">
        <v>4286</v>
      </c>
      <c r="E19" s="254">
        <v>8599</v>
      </c>
      <c r="F19" s="254">
        <v>12707</v>
      </c>
      <c r="G19" s="254">
        <v>16988</v>
      </c>
      <c r="H19" s="207"/>
      <c r="I19" s="208">
        <v>3989</v>
      </c>
      <c r="J19" s="208">
        <v>7983</v>
      </c>
      <c r="K19" s="208">
        <v>11748</v>
      </c>
      <c r="L19" s="983">
        <v>15703</v>
      </c>
      <c r="M19" s="208"/>
      <c r="N19" s="208">
        <v>3989</v>
      </c>
      <c r="O19" s="208">
        <v>7983</v>
      </c>
      <c r="P19" s="208">
        <v>11748</v>
      </c>
      <c r="Q19" s="208">
        <v>15703</v>
      </c>
      <c r="R19" s="208"/>
      <c r="S19" s="208">
        <v>3746</v>
      </c>
      <c r="T19" s="208">
        <v>7509</v>
      </c>
      <c r="U19" s="208">
        <f>+U6+U15</f>
        <v>11152</v>
      </c>
      <c r="V19" s="23"/>
      <c r="X19" s="139" t="s">
        <v>157</v>
      </c>
    </row>
    <row r="20" spans="2:25" ht="12.75">
      <c r="B20" s="15"/>
      <c r="C20" s="870" t="s">
        <v>130</v>
      </c>
      <c r="D20" s="991">
        <v>2370</v>
      </c>
      <c r="E20" s="254">
        <v>4982</v>
      </c>
      <c r="F20" s="254">
        <v>7565</v>
      </c>
      <c r="G20" s="254">
        <v>10210</v>
      </c>
      <c r="H20" s="207"/>
      <c r="I20" s="208">
        <v>2365</v>
      </c>
      <c r="J20" s="208">
        <v>4916</v>
      </c>
      <c r="K20" s="208">
        <v>7429</v>
      </c>
      <c r="L20" s="983">
        <v>9978</v>
      </c>
      <c r="M20" s="208"/>
      <c r="N20" s="208">
        <v>2365</v>
      </c>
      <c r="O20" s="208">
        <v>4916</v>
      </c>
      <c r="P20" s="208">
        <v>7429</v>
      </c>
      <c r="Q20" s="208">
        <v>9978</v>
      </c>
      <c r="R20" s="208"/>
      <c r="S20" s="208">
        <v>2236</v>
      </c>
      <c r="T20" s="208">
        <v>4669</v>
      </c>
      <c r="U20" s="208">
        <f>+T20+'Key fin. data by BU by quarter'!U21</f>
        <v>7120</v>
      </c>
      <c r="V20" s="23"/>
      <c r="X20" s="1469" t="s">
        <v>382</v>
      </c>
      <c r="Y20" s="4"/>
    </row>
    <row r="21" spans="2:24" ht="12.75">
      <c r="B21" s="15"/>
      <c r="C21" s="28" t="s">
        <v>8</v>
      </c>
      <c r="D21" s="991">
        <v>204</v>
      </c>
      <c r="E21" s="254">
        <v>427</v>
      </c>
      <c r="F21" s="254">
        <v>662</v>
      </c>
      <c r="G21" s="254">
        <v>915</v>
      </c>
      <c r="H21" s="207"/>
      <c r="I21" s="256">
        <v>304</v>
      </c>
      <c r="J21" s="256">
        <v>695</v>
      </c>
      <c r="K21" s="256">
        <v>1106</v>
      </c>
      <c r="L21" s="992">
        <v>1545</v>
      </c>
      <c r="M21" s="256"/>
      <c r="N21" s="256">
        <v>216</v>
      </c>
      <c r="O21" s="256">
        <v>512</v>
      </c>
      <c r="P21" s="256">
        <v>824</v>
      </c>
      <c r="Q21" s="256">
        <v>1151</v>
      </c>
      <c r="R21" s="256"/>
      <c r="S21" s="256">
        <v>323</v>
      </c>
      <c r="T21" s="256">
        <v>642</v>
      </c>
      <c r="U21" s="256">
        <f>+T21+'Key fin. data by BU by quarter'!U22</f>
        <v>961</v>
      </c>
      <c r="V21" s="23"/>
      <c r="X21" s="162" t="s">
        <v>312</v>
      </c>
    </row>
    <row r="22" spans="2:22" ht="12.75">
      <c r="B22" s="15"/>
      <c r="C22" s="28" t="s">
        <v>31</v>
      </c>
      <c r="D22" s="991">
        <v>837</v>
      </c>
      <c r="E22" s="254">
        <v>1722</v>
      </c>
      <c r="F22" s="254">
        <v>2792</v>
      </c>
      <c r="G22" s="254">
        <v>3964</v>
      </c>
      <c r="H22" s="207"/>
      <c r="I22" s="256">
        <v>1100</v>
      </c>
      <c r="J22" s="256">
        <v>2322</v>
      </c>
      <c r="K22" s="256">
        <v>3603</v>
      </c>
      <c r="L22" s="992">
        <v>4990</v>
      </c>
      <c r="M22" s="256"/>
      <c r="N22" s="256">
        <v>1100</v>
      </c>
      <c r="O22" s="256">
        <v>2322</v>
      </c>
      <c r="P22" s="256">
        <v>3603</v>
      </c>
      <c r="Q22" s="256">
        <v>4990</v>
      </c>
      <c r="R22" s="256"/>
      <c r="S22" s="256">
        <v>1224</v>
      </c>
      <c r="T22" s="256">
        <v>2537</v>
      </c>
      <c r="U22" s="256">
        <f>+T22+'Key fin. data by BU by quarter'!U23</f>
        <v>3973</v>
      </c>
      <c r="V22" s="23"/>
    </row>
    <row r="23" spans="2:22" ht="12.75">
      <c r="B23" s="15"/>
      <c r="C23" s="28" t="s">
        <v>89</v>
      </c>
      <c r="D23" s="991">
        <v>44</v>
      </c>
      <c r="E23" s="254">
        <v>98</v>
      </c>
      <c r="F23" s="254">
        <v>136</v>
      </c>
      <c r="G23" s="254">
        <v>207</v>
      </c>
      <c r="H23" s="207"/>
      <c r="I23" s="256">
        <v>58</v>
      </c>
      <c r="J23" s="256">
        <v>125</v>
      </c>
      <c r="K23" s="256">
        <v>178</v>
      </c>
      <c r="L23" s="992">
        <v>263</v>
      </c>
      <c r="M23" s="256"/>
      <c r="N23" s="256">
        <v>58</v>
      </c>
      <c r="O23" s="256">
        <v>125</v>
      </c>
      <c r="P23" s="256">
        <v>178</v>
      </c>
      <c r="Q23" s="256">
        <v>263</v>
      </c>
      <c r="R23" s="256"/>
      <c r="S23" s="256">
        <v>74</v>
      </c>
      <c r="T23" s="256">
        <v>148</v>
      </c>
      <c r="U23" s="256">
        <f>+T23+'Key fin. data by BU by quarter'!U24</f>
        <v>210</v>
      </c>
      <c r="V23" s="23"/>
    </row>
    <row r="24" spans="2:22" ht="12.75">
      <c r="B24" s="15"/>
      <c r="C24" s="28" t="s">
        <v>9</v>
      </c>
      <c r="D24" s="991">
        <v>94</v>
      </c>
      <c r="E24" s="254">
        <v>212</v>
      </c>
      <c r="F24" s="254">
        <v>298</v>
      </c>
      <c r="G24" s="254">
        <v>440</v>
      </c>
      <c r="H24" s="207"/>
      <c r="I24" s="256">
        <v>83</v>
      </c>
      <c r="J24" s="256">
        <v>192</v>
      </c>
      <c r="K24" s="256">
        <v>283</v>
      </c>
      <c r="L24" s="992">
        <v>408</v>
      </c>
      <c r="M24" s="256"/>
      <c r="N24" s="256">
        <v>83</v>
      </c>
      <c r="O24" s="256">
        <v>192</v>
      </c>
      <c r="P24" s="256">
        <v>283</v>
      </c>
      <c r="Q24" s="256">
        <v>408</v>
      </c>
      <c r="R24" s="256"/>
      <c r="S24" s="256">
        <v>83</v>
      </c>
      <c r="T24" s="256">
        <v>180</v>
      </c>
      <c r="U24" s="256">
        <f>+T24+'Key fin. data by BU by quarter'!U25</f>
        <v>252</v>
      </c>
      <c r="V24" s="23"/>
    </row>
    <row r="25" spans="2:25" s="4" customFormat="1" ht="12.75">
      <c r="B25" s="484"/>
      <c r="C25" s="28" t="s">
        <v>338</v>
      </c>
      <c r="D25" s="982">
        <v>6</v>
      </c>
      <c r="E25" s="251">
        <v>-1</v>
      </c>
      <c r="F25" s="251">
        <v>-7</v>
      </c>
      <c r="G25" s="251">
        <v>-36</v>
      </c>
      <c r="H25" s="251"/>
      <c r="I25" s="251">
        <v>-14</v>
      </c>
      <c r="J25" s="251">
        <v>-46</v>
      </c>
      <c r="K25" s="251">
        <v>-71</v>
      </c>
      <c r="L25" s="993">
        <v>-136</v>
      </c>
      <c r="M25" s="251"/>
      <c r="N25" s="251">
        <v>9</v>
      </c>
      <c r="O25" s="251">
        <v>4</v>
      </c>
      <c r="P25" s="251">
        <v>8</v>
      </c>
      <c r="Q25" s="251">
        <v>-19</v>
      </c>
      <c r="R25" s="251"/>
      <c r="S25" s="251">
        <v>-25</v>
      </c>
      <c r="T25" s="251">
        <v>-89</v>
      </c>
      <c r="U25" s="251">
        <f>+T25+'Key fin. data by BU by quarter'!U26</f>
        <v>-151</v>
      </c>
      <c r="V25" s="192"/>
      <c r="X25" s="3"/>
      <c r="Y25" s="3"/>
    </row>
    <row r="26" spans="2:24" ht="12.75">
      <c r="B26" s="15"/>
      <c r="C26" s="7" t="s">
        <v>10</v>
      </c>
      <c r="D26" s="994">
        <v>7482</v>
      </c>
      <c r="E26" s="253">
        <v>15335</v>
      </c>
      <c r="F26" s="253">
        <v>23104</v>
      </c>
      <c r="G26" s="253">
        <v>31275</v>
      </c>
      <c r="H26" s="207"/>
      <c r="I26" s="212">
        <v>7540</v>
      </c>
      <c r="J26" s="212">
        <v>15470</v>
      </c>
      <c r="K26" s="212">
        <v>23207</v>
      </c>
      <c r="L26" s="995">
        <v>31322</v>
      </c>
      <c r="M26" s="212"/>
      <c r="N26" s="212">
        <v>7475</v>
      </c>
      <c r="O26" s="212">
        <v>15337</v>
      </c>
      <c r="P26" s="212">
        <v>23004</v>
      </c>
      <c r="Q26" s="212">
        <v>31045</v>
      </c>
      <c r="R26" s="212"/>
      <c r="S26" s="212">
        <v>7298</v>
      </c>
      <c r="T26" s="212">
        <v>14862</v>
      </c>
      <c r="U26" s="212">
        <f>+U13+U15</f>
        <v>22423</v>
      </c>
      <c r="V26" s="23"/>
      <c r="X26" s="4"/>
    </row>
    <row r="27" spans="2:22" ht="12.75">
      <c r="B27" s="15"/>
      <c r="C27" s="7"/>
      <c r="D27" s="994"/>
      <c r="E27" s="253"/>
      <c r="F27" s="253"/>
      <c r="G27" s="253"/>
      <c r="H27" s="207"/>
      <c r="I27" s="212"/>
      <c r="J27" s="212"/>
      <c r="K27" s="212"/>
      <c r="L27" s="995"/>
      <c r="M27" s="212"/>
      <c r="N27" s="212"/>
      <c r="O27" s="212"/>
      <c r="P27" s="212"/>
      <c r="Q27" s="212"/>
      <c r="R27" s="212"/>
      <c r="S27" s="212"/>
      <c r="T27" s="212"/>
      <c r="U27" s="212"/>
      <c r="V27" s="23"/>
    </row>
    <row r="28" spans="2:22" ht="12.75">
      <c r="B28" s="15"/>
      <c r="C28" s="35" t="s">
        <v>91</v>
      </c>
      <c r="D28" s="996"/>
      <c r="E28" s="319"/>
      <c r="F28" s="319"/>
      <c r="G28" s="319"/>
      <c r="H28" s="320"/>
      <c r="I28" s="321"/>
      <c r="J28" s="321"/>
      <c r="K28" s="321"/>
      <c r="L28" s="997"/>
      <c r="M28" s="321"/>
      <c r="N28" s="321"/>
      <c r="O28" s="321"/>
      <c r="P28" s="321"/>
      <c r="Q28" s="321"/>
      <c r="R28" s="321"/>
      <c r="S28" s="321"/>
      <c r="T28" s="321"/>
      <c r="U28" s="321"/>
      <c r="V28" s="23"/>
    </row>
    <row r="29" spans="2:25" ht="12.75">
      <c r="B29" s="15"/>
      <c r="C29" s="29" t="s">
        <v>7</v>
      </c>
      <c r="D29" s="991">
        <v>3148</v>
      </c>
      <c r="E29" s="254">
        <v>6210</v>
      </c>
      <c r="F29" s="254">
        <v>9220</v>
      </c>
      <c r="G29" s="254">
        <v>11893</v>
      </c>
      <c r="H29" s="207"/>
      <c r="I29" s="208">
        <v>2853</v>
      </c>
      <c r="J29" s="208">
        <v>5619</v>
      </c>
      <c r="K29" s="208">
        <v>8440</v>
      </c>
      <c r="L29" s="983">
        <v>10174</v>
      </c>
      <c r="M29" s="256"/>
      <c r="N29" s="256">
        <v>2853</v>
      </c>
      <c r="O29" s="256">
        <v>5619</v>
      </c>
      <c r="P29" s="256">
        <v>8440</v>
      </c>
      <c r="Q29" s="256">
        <v>10174</v>
      </c>
      <c r="R29" s="256"/>
      <c r="S29" s="256">
        <v>2667</v>
      </c>
      <c r="T29" s="256">
        <v>4931</v>
      </c>
      <c r="U29" s="256">
        <f>+T29+'Key fin. data by BU by quarter'!U30</f>
        <v>7613</v>
      </c>
      <c r="V29" s="23"/>
      <c r="Y29" s="4"/>
    </row>
    <row r="30" spans="2:22" ht="12.75">
      <c r="B30" s="15"/>
      <c r="C30" s="29" t="s">
        <v>8</v>
      </c>
      <c r="D30" s="991">
        <v>2</v>
      </c>
      <c r="E30" s="254">
        <v>14</v>
      </c>
      <c r="F30" s="254">
        <v>40</v>
      </c>
      <c r="G30" s="254">
        <v>81</v>
      </c>
      <c r="H30" s="207"/>
      <c r="I30" s="256">
        <v>30</v>
      </c>
      <c r="J30" s="256">
        <v>88</v>
      </c>
      <c r="K30" s="256">
        <v>161</v>
      </c>
      <c r="L30" s="992">
        <v>246</v>
      </c>
      <c r="M30" s="256"/>
      <c r="N30" s="256">
        <v>54</v>
      </c>
      <c r="O30" s="256">
        <v>128</v>
      </c>
      <c r="P30" s="256">
        <v>212</v>
      </c>
      <c r="Q30" s="256">
        <v>297</v>
      </c>
      <c r="R30" s="256"/>
      <c r="S30" s="256">
        <v>61</v>
      </c>
      <c r="T30" s="256">
        <v>119</v>
      </c>
      <c r="U30" s="256">
        <f>+T30+'Key fin. data by BU by quarter'!U31</f>
        <v>192</v>
      </c>
      <c r="V30" s="23"/>
    </row>
    <row r="31" spans="2:22" ht="12.75">
      <c r="B31" s="15"/>
      <c r="C31" s="29" t="s">
        <v>31</v>
      </c>
      <c r="D31" s="991">
        <v>181</v>
      </c>
      <c r="E31" s="254">
        <v>354</v>
      </c>
      <c r="F31" s="254">
        <v>604</v>
      </c>
      <c r="G31" s="254">
        <v>950</v>
      </c>
      <c r="H31" s="207"/>
      <c r="I31" s="256">
        <v>269</v>
      </c>
      <c r="J31" s="256">
        <v>585</v>
      </c>
      <c r="K31" s="256">
        <v>824</v>
      </c>
      <c r="L31" s="992">
        <v>1207</v>
      </c>
      <c r="M31" s="256"/>
      <c r="N31" s="256">
        <v>269</v>
      </c>
      <c r="O31" s="256">
        <v>585</v>
      </c>
      <c r="P31" s="256">
        <v>824</v>
      </c>
      <c r="Q31" s="256">
        <v>1207</v>
      </c>
      <c r="R31" s="256"/>
      <c r="S31" s="256">
        <v>242</v>
      </c>
      <c r="T31" s="256">
        <v>521</v>
      </c>
      <c r="U31" s="256">
        <f>+T31+'Key fin. data by BU by quarter'!U32</f>
        <v>875</v>
      </c>
      <c r="V31" s="23"/>
    </row>
    <row r="32" spans="2:22" ht="12.75">
      <c r="B32" s="15"/>
      <c r="C32" s="29" t="s">
        <v>89</v>
      </c>
      <c r="D32" s="991">
        <v>-28</v>
      </c>
      <c r="E32" s="254">
        <v>-52</v>
      </c>
      <c r="F32" s="254">
        <v>-71</v>
      </c>
      <c r="G32" s="254">
        <v>-83</v>
      </c>
      <c r="H32" s="207"/>
      <c r="I32" s="256">
        <v>-11</v>
      </c>
      <c r="J32" s="256">
        <v>-21</v>
      </c>
      <c r="K32" s="256">
        <v>-38</v>
      </c>
      <c r="L32" s="992">
        <v>-55</v>
      </c>
      <c r="M32" s="256"/>
      <c r="N32" s="256">
        <v>-11</v>
      </c>
      <c r="O32" s="256">
        <v>-21</v>
      </c>
      <c r="P32" s="256">
        <v>-38</v>
      </c>
      <c r="Q32" s="256">
        <v>-55</v>
      </c>
      <c r="R32" s="256"/>
      <c r="S32" s="256">
        <v>-21</v>
      </c>
      <c r="T32" s="256">
        <v>-35</v>
      </c>
      <c r="U32" s="256">
        <f>+T32+'Key fin. data by BU by quarter'!U33</f>
        <v>-45</v>
      </c>
      <c r="V32" s="23"/>
    </row>
    <row r="33" spans="2:22" ht="12.75">
      <c r="B33" s="15"/>
      <c r="C33" s="29" t="s">
        <v>9</v>
      </c>
      <c r="D33" s="991">
        <v>-12</v>
      </c>
      <c r="E33" s="254">
        <v>-26</v>
      </c>
      <c r="F33" s="254">
        <v>-36</v>
      </c>
      <c r="G33" s="254">
        <v>-33</v>
      </c>
      <c r="H33" s="207"/>
      <c r="I33" s="256">
        <v>-10</v>
      </c>
      <c r="J33" s="256">
        <v>-17</v>
      </c>
      <c r="K33" s="256">
        <v>-21</v>
      </c>
      <c r="L33" s="992">
        <v>-44</v>
      </c>
      <c r="M33" s="256"/>
      <c r="N33" s="256">
        <v>-10</v>
      </c>
      <c r="O33" s="256">
        <v>-17</v>
      </c>
      <c r="P33" s="256">
        <v>-21</v>
      </c>
      <c r="Q33" s="256">
        <v>-44</v>
      </c>
      <c r="R33" s="256"/>
      <c r="S33" s="256">
        <v>-7</v>
      </c>
      <c r="T33" s="256">
        <v>-12</v>
      </c>
      <c r="U33" s="256">
        <f>+T33+'Key fin. data by BU by quarter'!U34</f>
        <v>-23</v>
      </c>
      <c r="V33" s="23"/>
    </row>
    <row r="34" spans="2:25" s="4" customFormat="1" ht="12.75">
      <c r="B34" s="484"/>
      <c r="C34" s="28" t="s">
        <v>338</v>
      </c>
      <c r="D34" s="991">
        <v>4</v>
      </c>
      <c r="E34" s="254">
        <v>18</v>
      </c>
      <c r="F34" s="254">
        <v>29</v>
      </c>
      <c r="G34" s="254">
        <v>42</v>
      </c>
      <c r="H34" s="254"/>
      <c r="I34" s="254">
        <v>23</v>
      </c>
      <c r="J34" s="254">
        <v>40</v>
      </c>
      <c r="K34" s="254">
        <v>67</v>
      </c>
      <c r="L34" s="998">
        <v>89</v>
      </c>
      <c r="M34" s="254"/>
      <c r="N34" s="254">
        <v>23</v>
      </c>
      <c r="O34" s="254">
        <v>41</v>
      </c>
      <c r="P34" s="254">
        <v>67</v>
      </c>
      <c r="Q34" s="254">
        <v>89</v>
      </c>
      <c r="R34" s="254"/>
      <c r="S34" s="254">
        <v>24</v>
      </c>
      <c r="T34" s="254">
        <v>11</v>
      </c>
      <c r="U34" s="254">
        <f>+T34+'Key fin. data by BU by quarter'!U35</f>
        <v>10</v>
      </c>
      <c r="V34" s="192"/>
      <c r="X34" s="3"/>
      <c r="Y34" s="3"/>
    </row>
    <row r="35" spans="2:22" ht="12.75">
      <c r="B35" s="15"/>
      <c r="C35" s="7" t="s">
        <v>10</v>
      </c>
      <c r="D35" s="994">
        <v>3295</v>
      </c>
      <c r="E35" s="255">
        <v>6518</v>
      </c>
      <c r="F35" s="255">
        <v>9786</v>
      </c>
      <c r="G35" s="255">
        <v>12850</v>
      </c>
      <c r="H35" s="207"/>
      <c r="I35" s="212">
        <v>3154</v>
      </c>
      <c r="J35" s="212">
        <v>6294</v>
      </c>
      <c r="K35" s="212">
        <v>9433</v>
      </c>
      <c r="L35" s="995">
        <v>11617</v>
      </c>
      <c r="M35" s="212"/>
      <c r="N35" s="212">
        <v>3178</v>
      </c>
      <c r="O35" s="212">
        <v>6335</v>
      </c>
      <c r="P35" s="212">
        <v>9484</v>
      </c>
      <c r="Q35" s="212">
        <v>11668</v>
      </c>
      <c r="R35" s="212"/>
      <c r="S35" s="212">
        <v>2966</v>
      </c>
      <c r="T35" s="212">
        <v>5535</v>
      </c>
      <c r="U35" s="212">
        <f>+T35+'Key fin. data by BU by quarter'!U36</f>
        <v>8622</v>
      </c>
      <c r="V35" s="23"/>
    </row>
    <row r="36" spans="2:22" ht="6" customHeight="1">
      <c r="B36" s="15"/>
      <c r="C36" s="38"/>
      <c r="D36" s="759"/>
      <c r="E36" s="317"/>
      <c r="F36" s="317"/>
      <c r="G36" s="318"/>
      <c r="H36" s="210"/>
      <c r="I36" s="336"/>
      <c r="J36" s="336"/>
      <c r="K36" s="336"/>
      <c r="L36" s="999"/>
      <c r="M36" s="931"/>
      <c r="N36" s="931"/>
      <c r="O36" s="931"/>
      <c r="P36" s="931"/>
      <c r="Q36" s="931"/>
      <c r="R36" s="931"/>
      <c r="S36" s="931"/>
      <c r="T36" s="1378"/>
      <c r="U36" s="1378"/>
      <c r="V36" s="23"/>
    </row>
    <row r="37" spans="2:22" ht="12.75">
      <c r="B37" s="15"/>
      <c r="C37" s="39" t="s">
        <v>67</v>
      </c>
      <c r="D37" s="1000"/>
      <c r="E37" s="322"/>
      <c r="F37" s="322"/>
      <c r="G37" s="322"/>
      <c r="H37" s="323"/>
      <c r="I37" s="322"/>
      <c r="J37" s="322"/>
      <c r="K37" s="322"/>
      <c r="L37" s="1001"/>
      <c r="M37" s="322"/>
      <c r="N37" s="322"/>
      <c r="O37" s="322"/>
      <c r="P37" s="322"/>
      <c r="Q37" s="322"/>
      <c r="R37" s="322"/>
      <c r="S37" s="322"/>
      <c r="T37" s="322"/>
      <c r="U37" s="322"/>
      <c r="V37" s="23"/>
    </row>
    <row r="38" spans="2:22" ht="12.75">
      <c r="B38" s="15"/>
      <c r="C38" s="29" t="s">
        <v>7</v>
      </c>
      <c r="D38" s="1002">
        <v>0.4999205971097348</v>
      </c>
      <c r="E38" s="221">
        <v>0.48225518366079057</v>
      </c>
      <c r="F38" s="221">
        <v>0.4796337720439057</v>
      </c>
      <c r="G38" s="221">
        <v>0.46123715338375026</v>
      </c>
      <c r="H38" s="214"/>
      <c r="I38" s="213">
        <v>0.4747878182725911</v>
      </c>
      <c r="J38" s="213">
        <v>0.46125430963716957</v>
      </c>
      <c r="K38" s="213">
        <v>0.4660923348796112</v>
      </c>
      <c r="L38" s="1003">
        <v>0.42006606110652356</v>
      </c>
      <c r="M38" s="213"/>
      <c r="N38" s="213">
        <v>0.4747878182725911</v>
      </c>
      <c r="O38" s="213">
        <v>0.46125430963716957</v>
      </c>
      <c r="P38" s="213">
        <f>+P29/P18</f>
        <v>0.4660923348796112</v>
      </c>
      <c r="Q38" s="213">
        <f>+Q29/Q18</f>
        <v>0.4195117928418275</v>
      </c>
      <c r="R38" s="213"/>
      <c r="S38" s="213">
        <v>0.474639615589963</v>
      </c>
      <c r="T38" s="213">
        <f>+T29/T5</f>
        <v>0.4317863397548161</v>
      </c>
      <c r="U38" s="213">
        <f>+U29/$U$5</f>
        <v>0.443803194590183</v>
      </c>
      <c r="V38" s="23"/>
    </row>
    <row r="39" spans="2:22" ht="12.75">
      <c r="B39" s="15"/>
      <c r="C39" s="29" t="s">
        <v>8</v>
      </c>
      <c r="D39" s="1002">
        <v>0.00980392156862745</v>
      </c>
      <c r="E39" s="221">
        <v>0.03278688524590164</v>
      </c>
      <c r="F39" s="221">
        <v>0.06042296072507553</v>
      </c>
      <c r="G39" s="221">
        <v>0.08852459016393442</v>
      </c>
      <c r="H39" s="214"/>
      <c r="I39" s="213">
        <v>0.09868421052631579</v>
      </c>
      <c r="J39" s="213">
        <v>0.12661870503597122</v>
      </c>
      <c r="K39" s="213">
        <v>0.14556962025316456</v>
      </c>
      <c r="L39" s="1003">
        <v>0.15922330097087378</v>
      </c>
      <c r="M39" s="213"/>
      <c r="N39" s="213">
        <v>0.25</v>
      </c>
      <c r="O39" s="213">
        <v>0.25</v>
      </c>
      <c r="P39" s="213">
        <f aca="true" t="shared" si="0" ref="P39:Q42">+P30/P21</f>
        <v>0.25728155339805825</v>
      </c>
      <c r="Q39" s="213">
        <f t="shared" si="0"/>
        <v>0.2580364900086881</v>
      </c>
      <c r="R39" s="213"/>
      <c r="S39" s="213">
        <v>0.18885448916408668</v>
      </c>
      <c r="T39" s="213">
        <f>+T30/T8</f>
        <v>0.1853582554517134</v>
      </c>
      <c r="U39" s="213">
        <f>+U30/$U$8</f>
        <v>0.19979188345473464</v>
      </c>
      <c r="V39" s="23"/>
    </row>
    <row r="40" spans="2:22" ht="12.75">
      <c r="B40" s="15"/>
      <c r="C40" s="29" t="s">
        <v>31</v>
      </c>
      <c r="D40" s="1002">
        <v>0.2162485065710872</v>
      </c>
      <c r="E40" s="221">
        <v>0.20557491289198607</v>
      </c>
      <c r="F40" s="221">
        <v>0.2163323782234957</v>
      </c>
      <c r="G40" s="221">
        <v>0.239656912209889</v>
      </c>
      <c r="H40" s="214"/>
      <c r="I40" s="213">
        <v>0.24454545454545454</v>
      </c>
      <c r="J40" s="213">
        <v>0.25193798449612403</v>
      </c>
      <c r="K40" s="213">
        <v>0.22869830696641688</v>
      </c>
      <c r="L40" s="1003">
        <v>0.24188376753507013</v>
      </c>
      <c r="M40" s="213"/>
      <c r="N40" s="213">
        <v>0.24454545454545454</v>
      </c>
      <c r="O40" s="213">
        <v>0.25193798449612403</v>
      </c>
      <c r="P40" s="213">
        <f t="shared" si="0"/>
        <v>0.22869830696641688</v>
      </c>
      <c r="Q40" s="213">
        <f t="shared" si="0"/>
        <v>0.24188376753507013</v>
      </c>
      <c r="R40" s="213"/>
      <c r="S40" s="213">
        <v>0.1977124183006536</v>
      </c>
      <c r="T40" s="213">
        <f>+T31/T9</f>
        <v>0.20536066219944818</v>
      </c>
      <c r="U40" s="213">
        <f>+U31/$U$9</f>
        <v>0.22023659702995219</v>
      </c>
      <c r="V40" s="23"/>
    </row>
    <row r="41" spans="2:22" ht="12.75">
      <c r="B41" s="15"/>
      <c r="C41" s="29" t="s">
        <v>89</v>
      </c>
      <c r="D41" s="1002">
        <v>-0.6363636363636364</v>
      </c>
      <c r="E41" s="221">
        <v>-0.5306122448979592</v>
      </c>
      <c r="F41" s="221">
        <v>-0.5220588235294118</v>
      </c>
      <c r="G41" s="221">
        <v>-0.40096618357487923</v>
      </c>
      <c r="H41" s="214"/>
      <c r="I41" s="213">
        <v>-0.1896551724137931</v>
      </c>
      <c r="J41" s="213">
        <v>-0.168</v>
      </c>
      <c r="K41" s="213">
        <v>-0.21348314606741572</v>
      </c>
      <c r="L41" s="1003">
        <v>-0.20912547528517111</v>
      </c>
      <c r="M41" s="213"/>
      <c r="N41" s="213">
        <v>-0.1896551724137931</v>
      </c>
      <c r="O41" s="213">
        <v>-0.168</v>
      </c>
      <c r="P41" s="213">
        <f t="shared" si="0"/>
        <v>-0.21348314606741572</v>
      </c>
      <c r="Q41" s="213">
        <f t="shared" si="0"/>
        <v>-0.20912547528517111</v>
      </c>
      <c r="R41" s="213"/>
      <c r="S41" s="213">
        <v>-0.28378378378378377</v>
      </c>
      <c r="T41" s="213">
        <f>+T32/T10</f>
        <v>-0.23648648648648649</v>
      </c>
      <c r="U41" s="213">
        <f>+U32/$U$10</f>
        <v>-0.21428571428571427</v>
      </c>
      <c r="V41" s="23"/>
    </row>
    <row r="42" spans="2:22" ht="12.75">
      <c r="B42" s="15"/>
      <c r="C42" s="29" t="s">
        <v>9</v>
      </c>
      <c r="D42" s="1002">
        <v>-0.1276595744680851</v>
      </c>
      <c r="E42" s="221">
        <v>-0.12264150943396226</v>
      </c>
      <c r="F42" s="221">
        <v>-0.12080536912751678</v>
      </c>
      <c r="G42" s="221">
        <v>-0.075</v>
      </c>
      <c r="H42" s="214"/>
      <c r="I42" s="213">
        <v>-0.12048192771084337</v>
      </c>
      <c r="J42" s="213">
        <v>-0.08854166666666667</v>
      </c>
      <c r="K42" s="213">
        <v>-0.07420494699646643</v>
      </c>
      <c r="L42" s="1003">
        <v>-0.10784313725490197</v>
      </c>
      <c r="M42" s="213"/>
      <c r="N42" s="213">
        <v>-0.12048192771084337</v>
      </c>
      <c r="O42" s="213">
        <v>-0.08854166666666667</v>
      </c>
      <c r="P42" s="213">
        <f t="shared" si="0"/>
        <v>-0.07420494699646643</v>
      </c>
      <c r="Q42" s="213">
        <f t="shared" si="0"/>
        <v>-0.10784313725490197</v>
      </c>
      <c r="R42" s="213"/>
      <c r="S42" s="213">
        <v>-0.08433734939759036</v>
      </c>
      <c r="T42" s="213">
        <f>+T33/T11</f>
        <v>-0.06666666666666667</v>
      </c>
      <c r="U42" s="213">
        <f>+U33/$U$11</f>
        <v>-0.09126984126984126</v>
      </c>
      <c r="V42" s="23"/>
    </row>
    <row r="43" spans="2:22" ht="12.75">
      <c r="B43" s="15"/>
      <c r="C43" s="7" t="s">
        <v>10</v>
      </c>
      <c r="D43" s="1004">
        <v>0.44039026998128844</v>
      </c>
      <c r="E43" s="223">
        <v>0.42504075643951744</v>
      </c>
      <c r="F43" s="223">
        <v>0.4235630193905817</v>
      </c>
      <c r="G43" s="223">
        <v>0.4108713029576339</v>
      </c>
      <c r="H43" s="216"/>
      <c r="I43" s="215">
        <v>0.41830238726790453</v>
      </c>
      <c r="J43" s="215">
        <v>0.4068519715578539</v>
      </c>
      <c r="K43" s="215">
        <v>0.40647218511655964</v>
      </c>
      <c r="L43" s="1005">
        <v>0.37126877596676255</v>
      </c>
      <c r="M43" s="215"/>
      <c r="N43" s="215">
        <v>0.4251505016722408</v>
      </c>
      <c r="O43" s="215">
        <v>0.41305340027384757</v>
      </c>
      <c r="P43" s="223">
        <f>+P35/P26</f>
        <v>0.41227612589114937</v>
      </c>
      <c r="Q43" s="223">
        <f>+Q35/Q26</f>
        <v>0.37584152037365115</v>
      </c>
      <c r="R43" s="223"/>
      <c r="S43" s="223">
        <v>0.4064127158125514</v>
      </c>
      <c r="T43" s="223">
        <f>+T35/T13</f>
        <v>0.37302871006874244</v>
      </c>
      <c r="U43" s="223">
        <f>+U35/$U$13</f>
        <v>0.3849278985669003</v>
      </c>
      <c r="V43" s="23"/>
    </row>
    <row r="44" spans="2:22" ht="12.75">
      <c r="B44" s="15"/>
      <c r="C44" s="40"/>
      <c r="D44" s="986"/>
      <c r="E44" s="324"/>
      <c r="F44" s="324"/>
      <c r="G44" s="324"/>
      <c r="H44" s="325"/>
      <c r="I44" s="326"/>
      <c r="J44" s="326"/>
      <c r="K44" s="326"/>
      <c r="L44" s="987"/>
      <c r="M44" s="326"/>
      <c r="N44" s="326"/>
      <c r="O44" s="326"/>
      <c r="P44" s="326"/>
      <c r="Q44" s="326"/>
      <c r="R44" s="326"/>
      <c r="S44" s="326"/>
      <c r="T44" s="326"/>
      <c r="U44" s="326"/>
      <c r="V44" s="23"/>
    </row>
    <row r="45" spans="2:24" ht="12.75">
      <c r="B45" s="15"/>
      <c r="C45" s="310" t="s">
        <v>372</v>
      </c>
      <c r="D45" s="977">
        <v>41</v>
      </c>
      <c r="E45" s="205">
        <v>100</v>
      </c>
      <c r="F45" s="205">
        <v>119</v>
      </c>
      <c r="G45" s="205">
        <v>232</v>
      </c>
      <c r="H45" s="217"/>
      <c r="I45" s="950">
        <v>0</v>
      </c>
      <c r="J45" s="205">
        <v>138</v>
      </c>
      <c r="K45" s="205">
        <v>156</v>
      </c>
      <c r="L45" s="978">
        <v>796</v>
      </c>
      <c r="M45" s="205"/>
      <c r="N45" s="950">
        <v>0</v>
      </c>
      <c r="O45" s="205">
        <v>53</v>
      </c>
      <c r="P45" s="205">
        <v>53</v>
      </c>
      <c r="Q45" s="205">
        <v>619</v>
      </c>
      <c r="R45" s="205"/>
      <c r="S45" s="205">
        <v>12</v>
      </c>
      <c r="T45" s="205">
        <v>325</v>
      </c>
      <c r="U45" s="205">
        <f>+U54-U35</f>
        <v>335</v>
      </c>
      <c r="V45" s="23"/>
      <c r="X45" s="4"/>
    </row>
    <row r="46" spans="2:22" ht="12.75">
      <c r="B46" s="15"/>
      <c r="C46" s="1409"/>
      <c r="D46" s="988"/>
      <c r="E46" s="328"/>
      <c r="F46" s="327"/>
      <c r="G46" s="329"/>
      <c r="H46" s="330"/>
      <c r="I46" s="331"/>
      <c r="J46" s="331"/>
      <c r="K46" s="331"/>
      <c r="L46" s="989"/>
      <c r="M46" s="331"/>
      <c r="N46" s="331"/>
      <c r="O46" s="331"/>
      <c r="P46" s="331"/>
      <c r="Q46" s="331"/>
      <c r="R46" s="331"/>
      <c r="S46" s="331"/>
      <c r="T46" s="331"/>
      <c r="U46" s="331"/>
      <c r="V46" s="23"/>
    </row>
    <row r="47" spans="2:22" ht="12.75">
      <c r="B47" s="15"/>
      <c r="C47" s="40" t="s">
        <v>316</v>
      </c>
      <c r="D47" s="784"/>
      <c r="E47" s="332"/>
      <c r="F47" s="332"/>
      <c r="G47" s="333"/>
      <c r="H47" s="334"/>
      <c r="I47" s="335"/>
      <c r="J47" s="335"/>
      <c r="K47" s="335"/>
      <c r="L47" s="990"/>
      <c r="M47" s="335"/>
      <c r="N47" s="335"/>
      <c r="O47" s="335"/>
      <c r="P47" s="335"/>
      <c r="Q47" s="335"/>
      <c r="R47" s="335"/>
      <c r="S47" s="335"/>
      <c r="T47" s="335"/>
      <c r="U47" s="335"/>
      <c r="V47" s="23"/>
    </row>
    <row r="48" spans="2:25" ht="12.75">
      <c r="B48" s="15"/>
      <c r="C48" s="29" t="s">
        <v>7</v>
      </c>
      <c r="D48" s="991">
        <v>3178</v>
      </c>
      <c r="E48" s="254">
        <v>6289</v>
      </c>
      <c r="F48" s="254">
        <v>9315</v>
      </c>
      <c r="G48" s="254">
        <v>12088</v>
      </c>
      <c r="H48" s="207"/>
      <c r="I48" s="208">
        <v>2889</v>
      </c>
      <c r="J48" s="208">
        <v>5753</v>
      </c>
      <c r="K48" s="208">
        <v>8590</v>
      </c>
      <c r="L48" s="983">
        <v>10939</v>
      </c>
      <c r="M48" s="256"/>
      <c r="N48" s="256">
        <v>2853</v>
      </c>
      <c r="O48" s="256">
        <v>5672</v>
      </c>
      <c r="P48" s="256">
        <v>8493</v>
      </c>
      <c r="Q48" s="256">
        <v>10775</v>
      </c>
      <c r="R48" s="256"/>
      <c r="S48" s="256">
        <v>2679</v>
      </c>
      <c r="T48" s="256">
        <v>5256</v>
      </c>
      <c r="U48" s="256">
        <f>+T48+'Key fin. data by BU by quarter'!U49</f>
        <v>7948</v>
      </c>
      <c r="V48" s="23"/>
      <c r="Y48" s="4"/>
    </row>
    <row r="49" spans="2:22" ht="12.75">
      <c r="B49" s="15"/>
      <c r="C49" s="29" t="s">
        <v>8</v>
      </c>
      <c r="D49" s="991">
        <v>2</v>
      </c>
      <c r="E49" s="254">
        <v>14</v>
      </c>
      <c r="F49" s="254">
        <v>40</v>
      </c>
      <c r="G49" s="254">
        <v>81</v>
      </c>
      <c r="H49" s="207"/>
      <c r="I49" s="256">
        <v>30</v>
      </c>
      <c r="J49" s="256">
        <v>90</v>
      </c>
      <c r="K49" s="256">
        <v>165</v>
      </c>
      <c r="L49" s="992">
        <v>250</v>
      </c>
      <c r="M49" s="256"/>
      <c r="N49" s="256">
        <v>54</v>
      </c>
      <c r="O49" s="256">
        <v>128</v>
      </c>
      <c r="P49" s="256">
        <v>212</v>
      </c>
      <c r="Q49" s="256">
        <v>297</v>
      </c>
      <c r="R49" s="256"/>
      <c r="S49" s="256">
        <v>61</v>
      </c>
      <c r="T49" s="256">
        <v>119</v>
      </c>
      <c r="U49" s="256">
        <f>+T49+'Key fin. data by BU by quarter'!U50</f>
        <v>192</v>
      </c>
      <c r="V49" s="23"/>
    </row>
    <row r="50" spans="2:22" ht="12.75">
      <c r="B50" s="15"/>
      <c r="C50" s="29" t="s">
        <v>31</v>
      </c>
      <c r="D50" s="991">
        <v>190</v>
      </c>
      <c r="E50" s="254">
        <v>363</v>
      </c>
      <c r="F50" s="254">
        <v>608</v>
      </c>
      <c r="G50" s="254">
        <v>954</v>
      </c>
      <c r="H50" s="207"/>
      <c r="I50" s="256">
        <v>269</v>
      </c>
      <c r="J50" s="256">
        <v>585</v>
      </c>
      <c r="K50" s="256">
        <v>824</v>
      </c>
      <c r="L50" s="992">
        <v>1207</v>
      </c>
      <c r="M50" s="256"/>
      <c r="N50" s="256">
        <v>269</v>
      </c>
      <c r="O50" s="256">
        <v>585</v>
      </c>
      <c r="P50" s="256">
        <v>824</v>
      </c>
      <c r="Q50" s="256">
        <v>1207</v>
      </c>
      <c r="R50" s="256"/>
      <c r="S50" s="256">
        <v>242</v>
      </c>
      <c r="T50" s="256">
        <v>521</v>
      </c>
      <c r="U50" s="256">
        <f>+T50+'Key fin. data by BU by quarter'!U51</f>
        <v>875</v>
      </c>
      <c r="V50" s="23"/>
    </row>
    <row r="51" spans="2:22" ht="12.75">
      <c r="B51" s="15"/>
      <c r="C51" s="29" t="s">
        <v>89</v>
      </c>
      <c r="D51" s="991">
        <v>-27</v>
      </c>
      <c r="E51" s="254">
        <v>-48</v>
      </c>
      <c r="F51" s="254">
        <v>-66</v>
      </c>
      <c r="G51" s="254">
        <v>-77</v>
      </c>
      <c r="H51" s="207"/>
      <c r="I51" s="256">
        <v>-10</v>
      </c>
      <c r="J51" s="256">
        <v>-20</v>
      </c>
      <c r="K51" s="256">
        <v>-37</v>
      </c>
      <c r="L51" s="992">
        <v>-53</v>
      </c>
      <c r="M51" s="256"/>
      <c r="N51" s="256">
        <v>-11</v>
      </c>
      <c r="O51" s="256">
        <v>-21</v>
      </c>
      <c r="P51" s="256">
        <v>-38</v>
      </c>
      <c r="Q51" s="256">
        <v>-55</v>
      </c>
      <c r="R51" s="256"/>
      <c r="S51" s="256">
        <v>-21</v>
      </c>
      <c r="T51" s="256">
        <v>-35</v>
      </c>
      <c r="U51" s="256">
        <f>+T51+'Key fin. data by BU by quarter'!U52</f>
        <v>-45</v>
      </c>
      <c r="V51" s="23"/>
    </row>
    <row r="52" spans="2:22" ht="12.75">
      <c r="B52" s="15"/>
      <c r="C52" s="29" t="s">
        <v>9</v>
      </c>
      <c r="D52" s="991">
        <v>-11</v>
      </c>
      <c r="E52" s="254">
        <v>-19</v>
      </c>
      <c r="F52" s="254">
        <v>-26</v>
      </c>
      <c r="G52" s="254">
        <v>-12</v>
      </c>
      <c r="H52" s="207"/>
      <c r="I52" s="256">
        <v>-10</v>
      </c>
      <c r="J52" s="256">
        <v>-17</v>
      </c>
      <c r="K52" s="256">
        <v>-20</v>
      </c>
      <c r="L52" s="992">
        <v>-19</v>
      </c>
      <c r="M52" s="256"/>
      <c r="N52" s="256">
        <v>-10</v>
      </c>
      <c r="O52" s="256">
        <v>-17</v>
      </c>
      <c r="P52" s="256">
        <v>-21</v>
      </c>
      <c r="Q52" s="256">
        <v>-26</v>
      </c>
      <c r="R52" s="256"/>
      <c r="S52" s="256">
        <v>-7</v>
      </c>
      <c r="T52" s="256">
        <v>-12</v>
      </c>
      <c r="U52" s="256">
        <f>+T52+'Key fin. data by BU by quarter'!U53</f>
        <v>-23</v>
      </c>
      <c r="V52" s="23"/>
    </row>
    <row r="53" spans="2:25" s="4" customFormat="1" ht="12.75">
      <c r="B53" s="484"/>
      <c r="C53" s="28" t="s">
        <v>338</v>
      </c>
      <c r="D53" s="991">
        <v>4</v>
      </c>
      <c r="E53" s="254">
        <v>19</v>
      </c>
      <c r="F53" s="254">
        <v>34</v>
      </c>
      <c r="G53" s="254">
        <v>48</v>
      </c>
      <c r="H53" s="254"/>
      <c r="I53" s="256">
        <v>23</v>
      </c>
      <c r="J53" s="256">
        <v>41</v>
      </c>
      <c r="K53" s="256">
        <v>67</v>
      </c>
      <c r="L53" s="992">
        <v>89</v>
      </c>
      <c r="M53" s="256"/>
      <c r="N53" s="256">
        <v>23</v>
      </c>
      <c r="O53" s="256">
        <v>41</v>
      </c>
      <c r="P53" s="256">
        <v>67</v>
      </c>
      <c r="Q53" s="256">
        <v>89</v>
      </c>
      <c r="R53" s="254"/>
      <c r="S53" s="254">
        <v>24</v>
      </c>
      <c r="T53" s="254">
        <v>11</v>
      </c>
      <c r="U53" s="254">
        <f>+T53+'Key fin. data by BU by quarter'!U54</f>
        <v>10</v>
      </c>
      <c r="V53" s="192"/>
      <c r="X53" s="3"/>
      <c r="Y53" s="3"/>
    </row>
    <row r="54" spans="2:22" ht="12.75">
      <c r="B54" s="15"/>
      <c r="C54" s="7" t="s">
        <v>10</v>
      </c>
      <c r="D54" s="994">
        <v>3336</v>
      </c>
      <c r="E54" s="255">
        <v>6618</v>
      </c>
      <c r="F54" s="255">
        <v>9905</v>
      </c>
      <c r="G54" s="253">
        <v>13082</v>
      </c>
      <c r="H54" s="207"/>
      <c r="I54" s="212">
        <v>3191</v>
      </c>
      <c r="J54" s="212">
        <v>6432</v>
      </c>
      <c r="K54" s="212">
        <v>9589</v>
      </c>
      <c r="L54" s="995">
        <v>12413</v>
      </c>
      <c r="M54" s="212"/>
      <c r="N54" s="212">
        <v>3178</v>
      </c>
      <c r="O54" s="212">
        <v>6388</v>
      </c>
      <c r="P54" s="212">
        <v>9537</v>
      </c>
      <c r="Q54" s="212">
        <v>12287</v>
      </c>
      <c r="R54" s="212"/>
      <c r="S54" s="212">
        <v>2978</v>
      </c>
      <c r="T54" s="212">
        <v>5860</v>
      </c>
      <c r="U54" s="212">
        <f>+T54+'Key fin. data by BU by quarter'!U55</f>
        <v>8957</v>
      </c>
      <c r="V54" s="23"/>
    </row>
    <row r="55" spans="2:22" ht="12.75">
      <c r="B55" s="15"/>
      <c r="C55" s="7"/>
      <c r="D55" s="759"/>
      <c r="E55" s="317"/>
      <c r="F55" s="317"/>
      <c r="G55" s="318"/>
      <c r="H55" s="210"/>
      <c r="I55" s="336"/>
      <c r="J55" s="336"/>
      <c r="K55" s="336"/>
      <c r="L55" s="999"/>
      <c r="M55" s="336"/>
      <c r="N55" s="336"/>
      <c r="O55" s="336"/>
      <c r="P55" s="336"/>
      <c r="Q55" s="336"/>
      <c r="R55" s="336"/>
      <c r="S55" s="336"/>
      <c r="T55" s="336"/>
      <c r="U55" s="336"/>
      <c r="V55" s="23"/>
    </row>
    <row r="56" spans="2:24" ht="12.75">
      <c r="B56" s="15"/>
      <c r="C56" s="42" t="s">
        <v>314</v>
      </c>
      <c r="D56" s="784"/>
      <c r="E56" s="332"/>
      <c r="F56" s="332"/>
      <c r="G56" s="333"/>
      <c r="H56" s="334"/>
      <c r="I56" s="335"/>
      <c r="J56" s="335"/>
      <c r="K56" s="335"/>
      <c r="L56" s="990"/>
      <c r="M56" s="335"/>
      <c r="N56" s="335"/>
      <c r="O56" s="335"/>
      <c r="P56" s="335"/>
      <c r="Q56" s="335"/>
      <c r="R56" s="335"/>
      <c r="S56" s="335"/>
      <c r="T56" s="335"/>
      <c r="U56" s="335"/>
      <c r="V56" s="23"/>
      <c r="X56" s="1214"/>
    </row>
    <row r="57" spans="2:24" ht="12.75">
      <c r="B57" s="15"/>
      <c r="C57" s="29" t="s">
        <v>7</v>
      </c>
      <c r="D57" s="1002">
        <v>0.5046847705256471</v>
      </c>
      <c r="E57" s="221">
        <v>0.4883901529859439</v>
      </c>
      <c r="F57" s="221">
        <v>0.48457576861051865</v>
      </c>
      <c r="G57" s="221">
        <v>0.4687996897420981</v>
      </c>
      <c r="H57" s="210"/>
      <c r="I57" s="213">
        <v>0.48077883175237146</v>
      </c>
      <c r="J57" s="213">
        <v>0.47225414546051553</v>
      </c>
      <c r="K57" s="213">
        <v>0.47437596642368013</v>
      </c>
      <c r="L57" s="1003">
        <v>0.45165152766308836</v>
      </c>
      <c r="M57" s="213"/>
      <c r="N57" s="213">
        <v>0.4747878182725911</v>
      </c>
      <c r="O57" s="213">
        <v>0.465604990970284</v>
      </c>
      <c r="P57" s="213">
        <v>0.469074442235476</v>
      </c>
      <c r="Q57" s="213">
        <v>0.44429325416460497</v>
      </c>
      <c r="R57" s="213"/>
      <c r="S57" s="213">
        <v>0.4767752269087026</v>
      </c>
      <c r="T57" s="213">
        <v>0.4602451838879159</v>
      </c>
      <c r="U57" s="213">
        <f>+U48/$U$5</f>
        <v>0.4633321674245074</v>
      </c>
      <c r="V57" s="23"/>
      <c r="X57" s="1214"/>
    </row>
    <row r="58" spans="2:24" ht="12.75">
      <c r="B58" s="15"/>
      <c r="C58" s="29" t="s">
        <v>8</v>
      </c>
      <c r="D58" s="1002">
        <v>0.00980392156862745</v>
      </c>
      <c r="E58" s="221">
        <v>0.03278688524590164</v>
      </c>
      <c r="F58" s="221">
        <v>0.06042296072507553</v>
      </c>
      <c r="G58" s="221">
        <v>0.08852459016393442</v>
      </c>
      <c r="H58" s="210"/>
      <c r="I58" s="213">
        <v>0.09868421052631579</v>
      </c>
      <c r="J58" s="213">
        <v>0.12949640287769784</v>
      </c>
      <c r="K58" s="213">
        <v>0.1491862567811935</v>
      </c>
      <c r="L58" s="1003">
        <v>0.16181229773462782</v>
      </c>
      <c r="M58" s="213"/>
      <c r="N58" s="213">
        <v>0.25</v>
      </c>
      <c r="O58" s="213">
        <v>0.25</v>
      </c>
      <c r="P58" s="213">
        <v>0.25728155339805825</v>
      </c>
      <c r="Q58" s="213">
        <v>0.2580364900086881</v>
      </c>
      <c r="R58" s="213"/>
      <c r="S58" s="213">
        <v>0.18885448916408668</v>
      </c>
      <c r="T58" s="213">
        <v>0.1853582554517134</v>
      </c>
      <c r="U58" s="213">
        <f>+U49/$U$8</f>
        <v>0.19979188345473464</v>
      </c>
      <c r="V58" s="23"/>
      <c r="X58" s="1214"/>
    </row>
    <row r="59" spans="2:25" ht="12.75">
      <c r="B59" s="15"/>
      <c r="C59" s="29" t="s">
        <v>31</v>
      </c>
      <c r="D59" s="1002">
        <v>0.2270011947431302</v>
      </c>
      <c r="E59" s="221">
        <v>0.21080139372822299</v>
      </c>
      <c r="F59" s="221">
        <v>0.2177650429799427</v>
      </c>
      <c r="G59" s="221">
        <v>0.24066599394550958</v>
      </c>
      <c r="H59" s="210"/>
      <c r="I59" s="213">
        <v>0.24454545454545454</v>
      </c>
      <c r="J59" s="213">
        <v>0.25193798449612403</v>
      </c>
      <c r="K59" s="213">
        <v>0.22869830696641688</v>
      </c>
      <c r="L59" s="1003">
        <v>0.24188376753507013</v>
      </c>
      <c r="M59" s="213"/>
      <c r="N59" s="213">
        <v>0.24454545454545454</v>
      </c>
      <c r="O59" s="213">
        <v>0.25193798449612403</v>
      </c>
      <c r="P59" s="213">
        <v>0.22869830696641688</v>
      </c>
      <c r="Q59" s="213">
        <v>0.24188376753507013</v>
      </c>
      <c r="R59" s="213"/>
      <c r="S59" s="213">
        <v>0.1977124183006536</v>
      </c>
      <c r="T59" s="213">
        <v>0.20536066219944818</v>
      </c>
      <c r="U59" s="213">
        <f>+U50/$U$9</f>
        <v>0.22023659702995219</v>
      </c>
      <c r="V59" s="23"/>
      <c r="Y59" s="1214"/>
    </row>
    <row r="60" spans="2:25" ht="12.75">
      <c r="B60" s="15"/>
      <c r="C60" s="29" t="s">
        <v>89</v>
      </c>
      <c r="D60" s="1002">
        <v>-0.6136363636363636</v>
      </c>
      <c r="E60" s="221">
        <v>-0.4897959183673469</v>
      </c>
      <c r="F60" s="221">
        <v>-0.4852941176470588</v>
      </c>
      <c r="G60" s="221">
        <v>-0.3719806763285024</v>
      </c>
      <c r="H60" s="210"/>
      <c r="I60" s="213">
        <v>-0.1724137931034483</v>
      </c>
      <c r="J60" s="213">
        <v>-0.16</v>
      </c>
      <c r="K60" s="213">
        <v>-0.20786516853932585</v>
      </c>
      <c r="L60" s="1003">
        <v>-0.20152091254752852</v>
      </c>
      <c r="M60" s="213"/>
      <c r="N60" s="213">
        <v>-0.1896551724137931</v>
      </c>
      <c r="O60" s="213">
        <v>-0.168</v>
      </c>
      <c r="P60" s="213">
        <v>-0.21348314606741572</v>
      </c>
      <c r="Q60" s="213">
        <v>-0.20912547528517111</v>
      </c>
      <c r="R60" s="213"/>
      <c r="S60" s="213">
        <v>-0.28378378378378377</v>
      </c>
      <c r="T60" s="213">
        <v>-0.23648648648648649</v>
      </c>
      <c r="U60" s="213">
        <f>+U51/$U$10</f>
        <v>-0.21428571428571427</v>
      </c>
      <c r="V60" s="23"/>
      <c r="Y60" s="1214"/>
    </row>
    <row r="61" spans="2:25" ht="12.75">
      <c r="B61" s="15"/>
      <c r="C61" s="29" t="s">
        <v>9</v>
      </c>
      <c r="D61" s="1002">
        <v>-0.11702127659574468</v>
      </c>
      <c r="E61" s="221">
        <v>-0.08962264150943396</v>
      </c>
      <c r="F61" s="221">
        <v>-0.087248322147651</v>
      </c>
      <c r="G61" s="221">
        <v>-0.02727272727272727</v>
      </c>
      <c r="H61" s="210"/>
      <c r="I61" s="213">
        <v>-0.12048192771084337</v>
      </c>
      <c r="J61" s="213">
        <v>-0.08854166666666667</v>
      </c>
      <c r="K61" s="213">
        <v>-0.0706713780918728</v>
      </c>
      <c r="L61" s="1003">
        <v>-0.04656862745098039</v>
      </c>
      <c r="M61" s="213"/>
      <c r="N61" s="213">
        <v>-0.12048192771084337</v>
      </c>
      <c r="O61" s="213">
        <v>-0.08854166666666667</v>
      </c>
      <c r="P61" s="213">
        <v>-0.07420494699646643</v>
      </c>
      <c r="Q61" s="213">
        <v>-0.06372549019607843</v>
      </c>
      <c r="R61" s="213"/>
      <c r="S61" s="213">
        <v>-0.08433734939759036</v>
      </c>
      <c r="T61" s="213">
        <v>-0.06666666666666667</v>
      </c>
      <c r="U61" s="213">
        <f>+U52/$U$11</f>
        <v>-0.09126984126984126</v>
      </c>
      <c r="V61" s="23"/>
      <c r="Y61" s="1214"/>
    </row>
    <row r="62" spans="2:22" ht="12.75">
      <c r="B62" s="15"/>
      <c r="C62" s="7" t="s">
        <v>10</v>
      </c>
      <c r="D62" s="1006">
        <v>0.4458700882117081</v>
      </c>
      <c r="E62" s="324">
        <v>0.43156178676230844</v>
      </c>
      <c r="F62" s="324">
        <v>0.4287136426592798</v>
      </c>
      <c r="G62" s="324">
        <v>0.4182893685051958</v>
      </c>
      <c r="H62" s="334"/>
      <c r="I62" s="326">
        <v>0.42320954907161806</v>
      </c>
      <c r="J62" s="326">
        <v>0.4157724628312864</v>
      </c>
      <c r="K62" s="326">
        <v>0.4131942948248373</v>
      </c>
      <c r="L62" s="987">
        <v>0.39670821348673696</v>
      </c>
      <c r="M62" s="215"/>
      <c r="N62" s="223">
        <v>0.4251505016722408</v>
      </c>
      <c r="O62" s="223">
        <v>0.41650909565104</v>
      </c>
      <c r="P62" s="223">
        <v>0.41458007303077726</v>
      </c>
      <c r="Q62" s="223">
        <v>0.39578031889193105</v>
      </c>
      <c r="R62" s="223"/>
      <c r="S62" s="223">
        <v>0.4080570019183338</v>
      </c>
      <c r="T62" s="223">
        <v>0.39493193152716</v>
      </c>
      <c r="U62" s="223">
        <f>+U54/$U$13</f>
        <v>0.399883923389437</v>
      </c>
      <c r="V62" s="23"/>
    </row>
    <row r="63" spans="2:22" ht="12.75">
      <c r="B63" s="15"/>
      <c r="C63" s="7"/>
      <c r="D63" s="176"/>
      <c r="E63" s="176"/>
      <c r="F63" s="176"/>
      <c r="G63" s="176"/>
      <c r="H63" s="337"/>
      <c r="I63" s="173"/>
      <c r="J63" s="338"/>
      <c r="K63" s="338"/>
      <c r="L63" s="338"/>
      <c r="M63" s="338"/>
      <c r="N63" s="173"/>
      <c r="O63" s="338"/>
      <c r="P63" s="338"/>
      <c r="Q63" s="338"/>
      <c r="R63" s="338"/>
      <c r="S63" s="338"/>
      <c r="T63" s="338"/>
      <c r="U63" s="338"/>
      <c r="V63" s="23"/>
    </row>
    <row r="64" spans="2:25" s="1214" customFormat="1" ht="12.75">
      <c r="B64" s="1208"/>
      <c r="C64" s="1408" t="s">
        <v>531</v>
      </c>
      <c r="D64" s="1210"/>
      <c r="E64" s="1210"/>
      <c r="F64" s="1210"/>
      <c r="G64" s="1210"/>
      <c r="H64" s="1210"/>
      <c r="I64" s="1210"/>
      <c r="J64" s="1211"/>
      <c r="K64" s="1211"/>
      <c r="L64" s="1211"/>
      <c r="M64" s="1212"/>
      <c r="N64" s="1210"/>
      <c r="O64" s="1212"/>
      <c r="P64" s="1212"/>
      <c r="Q64" s="1212"/>
      <c r="R64" s="1212"/>
      <c r="S64" s="1212"/>
      <c r="T64" s="1212"/>
      <c r="U64" s="1212"/>
      <c r="V64" s="1213"/>
      <c r="X64" s="3"/>
      <c r="Y64" s="3"/>
    </row>
    <row r="65" spans="2:25" s="1214" customFormat="1" ht="17.25" customHeight="1">
      <c r="B65" s="1208"/>
      <c r="C65" s="1409" t="s">
        <v>532</v>
      </c>
      <c r="D65" s="1215"/>
      <c r="E65" s="1215"/>
      <c r="F65" s="1215"/>
      <c r="G65" s="1215"/>
      <c r="H65" s="1215"/>
      <c r="I65" s="1215"/>
      <c r="J65" s="1216"/>
      <c r="K65" s="1216"/>
      <c r="L65" s="1216"/>
      <c r="M65" s="1217"/>
      <c r="N65" s="1215"/>
      <c r="O65" s="1234"/>
      <c r="P65" s="1217"/>
      <c r="Q65" s="1217"/>
      <c r="R65" s="1217"/>
      <c r="S65" s="1217"/>
      <c r="T65" s="1217"/>
      <c r="U65" s="1217"/>
      <c r="V65" s="1213"/>
      <c r="X65" s="3"/>
      <c r="Y65" s="3"/>
    </row>
    <row r="66" spans="2:25" s="1214" customFormat="1" ht="32.25" customHeight="1">
      <c r="B66" s="1219"/>
      <c r="C66" s="1220"/>
      <c r="D66" s="1221"/>
      <c r="E66" s="1221"/>
      <c r="F66" s="1221"/>
      <c r="G66" s="1222"/>
      <c r="H66" s="1223"/>
      <c r="I66" s="1224"/>
      <c r="J66" s="1225"/>
      <c r="K66" s="1225"/>
      <c r="L66" s="1225"/>
      <c r="M66" s="1225"/>
      <c r="N66" s="1224"/>
      <c r="O66" s="1225"/>
      <c r="P66" s="1225"/>
      <c r="Q66" s="1225"/>
      <c r="R66" s="1225"/>
      <c r="S66" s="1225"/>
      <c r="T66" s="1225"/>
      <c r="U66" s="1225"/>
      <c r="V66" s="1226"/>
      <c r="X66" s="3"/>
      <c r="Y66" s="3"/>
    </row>
    <row r="67" spans="2:24" ht="3" customHeight="1">
      <c r="B67" s="15"/>
      <c r="C67" s="79"/>
      <c r="D67" s="43"/>
      <c r="E67" s="43"/>
      <c r="F67" s="43"/>
      <c r="G67" s="45"/>
      <c r="H67" s="46"/>
      <c r="I67" s="44"/>
      <c r="J67" s="47"/>
      <c r="K67" s="47"/>
      <c r="L67" s="47"/>
      <c r="M67" s="47"/>
      <c r="N67" s="44"/>
      <c r="O67" s="47"/>
      <c r="P67" s="47"/>
      <c r="Q67" s="47"/>
      <c r="R67" s="47"/>
      <c r="S67" s="47"/>
      <c r="T67" s="47"/>
      <c r="U67" s="47"/>
      <c r="V67" s="23"/>
      <c r="X67" s="4"/>
    </row>
    <row r="68" spans="2:24" ht="18.75">
      <c r="B68" s="15"/>
      <c r="C68" s="43"/>
      <c r="D68" s="1007"/>
      <c r="E68" s="535"/>
      <c r="F68" s="535"/>
      <c r="G68" s="1008"/>
      <c r="H68" s="1009"/>
      <c r="I68" s="1010"/>
      <c r="J68" s="1011"/>
      <c r="K68" s="1011"/>
      <c r="L68" s="1012"/>
      <c r="M68" s="47"/>
      <c r="N68" s="1506" t="s">
        <v>367</v>
      </c>
      <c r="O68" s="1506"/>
      <c r="P68" s="1506"/>
      <c r="Q68" s="1506"/>
      <c r="R68" s="1506"/>
      <c r="S68" s="1506"/>
      <c r="T68" s="115"/>
      <c r="U68" s="115"/>
      <c r="V68" s="23"/>
      <c r="X68" s="4"/>
    </row>
    <row r="69" spans="2:24" ht="12.75">
      <c r="B69" s="15"/>
      <c r="C69" s="36" t="s">
        <v>90</v>
      </c>
      <c r="D69" s="1013" t="s">
        <v>2</v>
      </c>
      <c r="E69" s="53" t="s">
        <v>86</v>
      </c>
      <c r="F69" s="53" t="s">
        <v>87</v>
      </c>
      <c r="G69" s="53" t="s">
        <v>88</v>
      </c>
      <c r="H69" s="54"/>
      <c r="I69" s="17" t="s">
        <v>6</v>
      </c>
      <c r="J69" s="17" t="s">
        <v>148</v>
      </c>
      <c r="K69" s="17" t="s">
        <v>149</v>
      </c>
      <c r="L69" s="17" t="s">
        <v>226</v>
      </c>
      <c r="M69" s="32"/>
      <c r="N69" s="17" t="s">
        <v>6</v>
      </c>
      <c r="O69" s="17" t="s">
        <v>148</v>
      </c>
      <c r="P69" s="17" t="s">
        <v>149</v>
      </c>
      <c r="Q69" s="17" t="s">
        <v>226</v>
      </c>
      <c r="R69" s="32"/>
      <c r="S69" s="18" t="s">
        <v>339</v>
      </c>
      <c r="T69" s="18" t="s">
        <v>434</v>
      </c>
      <c r="U69" s="18" t="s">
        <v>536</v>
      </c>
      <c r="V69" s="23"/>
      <c r="X69" s="4"/>
    </row>
    <row r="70" spans="2:25" ht="12.75">
      <c r="B70" s="15"/>
      <c r="C70" s="55" t="s">
        <v>7</v>
      </c>
      <c r="D70" s="1014">
        <v>2081</v>
      </c>
      <c r="E70" s="218">
        <v>4037</v>
      </c>
      <c r="F70" s="218">
        <v>5883</v>
      </c>
      <c r="G70" s="299">
        <v>7676</v>
      </c>
      <c r="H70" s="219"/>
      <c r="I70" s="208">
        <v>1790</v>
      </c>
      <c r="J70" s="208">
        <v>3456</v>
      </c>
      <c r="K70" s="208">
        <v>5184</v>
      </c>
      <c r="L70" s="983">
        <v>5751</v>
      </c>
      <c r="M70" s="256"/>
      <c r="N70" s="299">
        <v>1790</v>
      </c>
      <c r="O70" s="299">
        <v>3456</v>
      </c>
      <c r="P70" s="299">
        <v>5184</v>
      </c>
      <c r="Q70" s="299">
        <v>5751</v>
      </c>
      <c r="R70" s="152"/>
      <c r="S70" s="299">
        <v>1566</v>
      </c>
      <c r="T70" s="299">
        <v>2679</v>
      </c>
      <c r="U70" s="299">
        <f>+T70+'Key fin. data by BU by quarter'!U71</f>
        <v>4227</v>
      </c>
      <c r="V70" s="23"/>
      <c r="X70" s="4"/>
      <c r="Y70" s="4"/>
    </row>
    <row r="71" spans="2:25" ht="12.75">
      <c r="B71" s="15"/>
      <c r="C71" s="29" t="s">
        <v>8</v>
      </c>
      <c r="D71" s="1015">
        <v>-38</v>
      </c>
      <c r="E71" s="211">
        <v>-78</v>
      </c>
      <c r="F71" s="211">
        <v>-106</v>
      </c>
      <c r="G71" s="256">
        <v>-125</v>
      </c>
      <c r="H71" s="207"/>
      <c r="I71" s="256">
        <v>-31</v>
      </c>
      <c r="J71" s="256">
        <v>-52</v>
      </c>
      <c r="K71" s="256">
        <v>-59</v>
      </c>
      <c r="L71" s="992">
        <v>-69</v>
      </c>
      <c r="M71" s="256"/>
      <c r="N71" s="256">
        <v>22</v>
      </c>
      <c r="O71" s="256">
        <v>52</v>
      </c>
      <c r="P71" s="256">
        <v>89</v>
      </c>
      <c r="Q71" s="256">
        <v>122</v>
      </c>
      <c r="R71" s="152"/>
      <c r="S71" s="256">
        <v>6</v>
      </c>
      <c r="T71" s="256">
        <v>2</v>
      </c>
      <c r="U71" s="256">
        <f>+T71+'Key fin. data by BU by quarter'!U72</f>
        <v>9</v>
      </c>
      <c r="V71" s="23"/>
      <c r="X71" s="4"/>
      <c r="Y71" s="4"/>
    </row>
    <row r="72" spans="2:25" ht="12.75">
      <c r="B72" s="15"/>
      <c r="C72" s="29" t="s">
        <v>31</v>
      </c>
      <c r="D72" s="1015">
        <v>-36</v>
      </c>
      <c r="E72" s="211">
        <v>-78</v>
      </c>
      <c r="F72" s="211">
        <v>-47</v>
      </c>
      <c r="G72" s="256">
        <v>21</v>
      </c>
      <c r="H72" s="207"/>
      <c r="I72" s="256">
        <v>16</v>
      </c>
      <c r="J72" s="256">
        <v>69</v>
      </c>
      <c r="K72" s="256">
        <v>44</v>
      </c>
      <c r="L72" s="992">
        <v>150</v>
      </c>
      <c r="M72" s="256"/>
      <c r="N72" s="256">
        <v>16</v>
      </c>
      <c r="O72" s="256">
        <v>69</v>
      </c>
      <c r="P72" s="256">
        <v>44</v>
      </c>
      <c r="Q72" s="256">
        <v>150</v>
      </c>
      <c r="R72" s="152"/>
      <c r="S72" s="256">
        <v>-17</v>
      </c>
      <c r="T72" s="256">
        <v>-2</v>
      </c>
      <c r="U72" s="256">
        <f>+T72+'Key fin. data by BU by quarter'!U73</f>
        <v>71</v>
      </c>
      <c r="V72" s="23"/>
      <c r="X72" s="4"/>
      <c r="Y72" s="4"/>
    </row>
    <row r="73" spans="2:25" ht="12.75">
      <c r="B73" s="15"/>
      <c r="C73" s="29" t="s">
        <v>89</v>
      </c>
      <c r="D73" s="1015">
        <v>-41</v>
      </c>
      <c r="E73" s="211">
        <v>-79</v>
      </c>
      <c r="F73" s="211">
        <v>-111</v>
      </c>
      <c r="G73" s="256">
        <v>-137</v>
      </c>
      <c r="H73" s="207"/>
      <c r="I73" s="256">
        <v>-26</v>
      </c>
      <c r="J73" s="256">
        <v>-52</v>
      </c>
      <c r="K73" s="256">
        <v>-84</v>
      </c>
      <c r="L73" s="992">
        <v>-117</v>
      </c>
      <c r="M73" s="256"/>
      <c r="N73" s="256">
        <v>-26</v>
      </c>
      <c r="O73" s="256">
        <v>-52</v>
      </c>
      <c r="P73" s="256">
        <v>-84</v>
      </c>
      <c r="Q73" s="256">
        <v>-117</v>
      </c>
      <c r="R73" s="152"/>
      <c r="S73" s="256">
        <v>-37</v>
      </c>
      <c r="T73" s="256">
        <v>-69</v>
      </c>
      <c r="U73" s="256">
        <f>+T73+'Key fin. data by BU by quarter'!U74</f>
        <v>-93</v>
      </c>
      <c r="V73" s="23"/>
      <c r="X73" s="4"/>
      <c r="Y73" s="4"/>
    </row>
    <row r="74" spans="2:25" ht="12.75">
      <c r="B74" s="15"/>
      <c r="C74" s="29" t="s">
        <v>9</v>
      </c>
      <c r="D74" s="1015">
        <v>-17</v>
      </c>
      <c r="E74" s="211">
        <v>-35</v>
      </c>
      <c r="F74" s="211">
        <v>-49</v>
      </c>
      <c r="G74" s="256">
        <v>-50</v>
      </c>
      <c r="H74" s="207"/>
      <c r="I74" s="256">
        <v>-14</v>
      </c>
      <c r="J74" s="256">
        <v>-24</v>
      </c>
      <c r="K74" s="256">
        <v>-32</v>
      </c>
      <c r="L74" s="992">
        <v>-66</v>
      </c>
      <c r="M74" s="256"/>
      <c r="N74" s="256">
        <v>-14</v>
      </c>
      <c r="O74" s="256">
        <v>-24</v>
      </c>
      <c r="P74" s="256">
        <v>-32</v>
      </c>
      <c r="Q74" s="256">
        <v>-66</v>
      </c>
      <c r="R74" s="152"/>
      <c r="S74" s="256">
        <v>-9</v>
      </c>
      <c r="T74" s="256">
        <v>-16</v>
      </c>
      <c r="U74" s="256">
        <f>+T74+'Key fin. data by BU by quarter'!U75</f>
        <v>-28</v>
      </c>
      <c r="V74" s="23"/>
      <c r="X74" s="4"/>
      <c r="Y74" s="4"/>
    </row>
    <row r="75" spans="2:22" s="4" customFormat="1" ht="12.75">
      <c r="B75" s="484"/>
      <c r="C75" s="28" t="s">
        <v>338</v>
      </c>
      <c r="D75" s="991">
        <v>35</v>
      </c>
      <c r="E75" s="254">
        <v>34</v>
      </c>
      <c r="F75" s="254">
        <v>51</v>
      </c>
      <c r="G75" s="254">
        <v>52</v>
      </c>
      <c r="H75" s="254"/>
      <c r="I75" s="254">
        <v>28</v>
      </c>
      <c r="J75" s="254">
        <v>52</v>
      </c>
      <c r="K75" s="254">
        <v>85</v>
      </c>
      <c r="L75" s="998">
        <v>115</v>
      </c>
      <c r="M75" s="254"/>
      <c r="N75" s="254">
        <v>29</v>
      </c>
      <c r="O75" s="254">
        <v>53</v>
      </c>
      <c r="P75" s="254">
        <v>86</v>
      </c>
      <c r="Q75" s="254">
        <v>115</v>
      </c>
      <c r="R75" s="148"/>
      <c r="S75" s="254">
        <v>19</v>
      </c>
      <c r="T75" s="254">
        <v>14</v>
      </c>
      <c r="U75" s="254">
        <f>+T75+'Key fin. data by BU by quarter'!U76</f>
        <v>18</v>
      </c>
      <c r="V75" s="192"/>
    </row>
    <row r="76" spans="2:22" s="4" customFormat="1" ht="12.75">
      <c r="B76" s="484"/>
      <c r="C76" s="56" t="s">
        <v>10</v>
      </c>
      <c r="D76" s="1016">
        <v>1984</v>
      </c>
      <c r="E76" s="255">
        <v>3801</v>
      </c>
      <c r="F76" s="255">
        <v>5621</v>
      </c>
      <c r="G76" s="212">
        <v>7437</v>
      </c>
      <c r="H76" s="207"/>
      <c r="I76" s="875">
        <v>1763</v>
      </c>
      <c r="J76" s="875">
        <v>3449</v>
      </c>
      <c r="K76" s="875">
        <v>5138</v>
      </c>
      <c r="L76" s="1017">
        <v>5764</v>
      </c>
      <c r="M76" s="875"/>
      <c r="N76" s="875">
        <v>1817</v>
      </c>
      <c r="O76" s="875">
        <v>3554</v>
      </c>
      <c r="P76" s="875">
        <v>5287</v>
      </c>
      <c r="Q76" s="875">
        <v>5955</v>
      </c>
      <c r="R76" s="148"/>
      <c r="S76" s="875">
        <v>1528</v>
      </c>
      <c r="T76" s="875">
        <v>2608</v>
      </c>
      <c r="U76" s="875">
        <f>+T76+'Key fin. data by BU by quarter'!U77</f>
        <v>4204</v>
      </c>
      <c r="V76" s="192"/>
    </row>
    <row r="77" spans="2:22" s="4" customFormat="1" ht="12.75">
      <c r="B77" s="484"/>
      <c r="C77" s="56"/>
      <c r="D77" s="1018"/>
      <c r="E77" s="209"/>
      <c r="F77" s="209"/>
      <c r="G77" s="229"/>
      <c r="H77" s="210"/>
      <c r="I77" s="876"/>
      <c r="J77" s="341"/>
      <c r="K77" s="341"/>
      <c r="L77" s="1019"/>
      <c r="M77" s="341"/>
      <c r="N77" s="876"/>
      <c r="O77" s="341"/>
      <c r="P77" s="341"/>
      <c r="Q77" s="341"/>
      <c r="R77" s="148"/>
      <c r="S77" s="341"/>
      <c r="T77" s="341"/>
      <c r="U77" s="341"/>
      <c r="V77" s="192"/>
    </row>
    <row r="78" spans="2:22" s="4" customFormat="1" ht="12.75">
      <c r="B78" s="484"/>
      <c r="C78" s="57" t="s">
        <v>69</v>
      </c>
      <c r="D78" s="1020"/>
      <c r="E78" s="321"/>
      <c r="F78" s="321"/>
      <c r="G78" s="321"/>
      <c r="H78" s="320"/>
      <c r="I78" s="321"/>
      <c r="J78" s="320"/>
      <c r="K78" s="320"/>
      <c r="L78" s="1021"/>
      <c r="M78" s="320"/>
      <c r="N78" s="321"/>
      <c r="O78" s="320"/>
      <c r="P78" s="320"/>
      <c r="Q78" s="320"/>
      <c r="R78" s="314"/>
      <c r="S78" s="320"/>
      <c r="T78" s="320"/>
      <c r="U78" s="320"/>
      <c r="V78" s="192"/>
    </row>
    <row r="79" spans="2:22" s="4" customFormat="1" ht="12.75">
      <c r="B79" s="484"/>
      <c r="C79" s="28" t="s">
        <v>7</v>
      </c>
      <c r="D79" s="1022">
        <v>0.3304748292837859</v>
      </c>
      <c r="E79" s="213">
        <v>0.31350469829929334</v>
      </c>
      <c r="F79" s="213">
        <v>0.3060396400145659</v>
      </c>
      <c r="G79" s="213">
        <v>0.29769245685476053</v>
      </c>
      <c r="H79" s="220"/>
      <c r="I79" s="213">
        <v>0.29788650357796637</v>
      </c>
      <c r="J79" s="213">
        <v>0.28369725824987685</v>
      </c>
      <c r="K79" s="213">
        <v>0.28628230616302186</v>
      </c>
      <c r="L79" s="1003">
        <v>0.23744838976052848</v>
      </c>
      <c r="M79" s="213"/>
      <c r="N79" s="213">
        <v>0.29788650357796637</v>
      </c>
      <c r="O79" s="213">
        <v>0.28369725824987685</v>
      </c>
      <c r="P79" s="213">
        <v>0.28628230616302186</v>
      </c>
      <c r="Q79" s="213">
        <v>0.23744838976052848</v>
      </c>
      <c r="R79" s="213"/>
      <c r="S79" s="213">
        <v>0.27869727709556863</v>
      </c>
      <c r="T79" s="213">
        <v>0.23458844133099824</v>
      </c>
      <c r="U79" s="213">
        <f>+U70/$U$5</f>
        <v>0.24641483036026582</v>
      </c>
      <c r="V79" s="192"/>
    </row>
    <row r="80" spans="2:22" s="4" customFormat="1" ht="12.75">
      <c r="B80" s="484"/>
      <c r="C80" s="28" t="s">
        <v>8</v>
      </c>
      <c r="D80" s="1022">
        <v>-0.18627450980392157</v>
      </c>
      <c r="E80" s="213">
        <v>-0.18266978922716628</v>
      </c>
      <c r="F80" s="213">
        <v>-0.16012084592145015</v>
      </c>
      <c r="G80" s="213">
        <v>-0.1366120218579235</v>
      </c>
      <c r="H80" s="220"/>
      <c r="I80" s="213">
        <v>-0.10197368421052631</v>
      </c>
      <c r="J80" s="213">
        <v>-0.07482014388489208</v>
      </c>
      <c r="K80" s="213">
        <v>-0.05334538878842676</v>
      </c>
      <c r="L80" s="1003">
        <v>-0.04466019417475728</v>
      </c>
      <c r="M80" s="213"/>
      <c r="N80" s="213">
        <v>0.10185185185185185</v>
      </c>
      <c r="O80" s="213">
        <v>0.1015625</v>
      </c>
      <c r="P80" s="213">
        <v>0.10800970873786407</v>
      </c>
      <c r="Q80" s="213">
        <v>0.10599478714161599</v>
      </c>
      <c r="R80" s="213"/>
      <c r="S80" s="213">
        <v>0.018575851393188854</v>
      </c>
      <c r="T80" s="213">
        <v>0.003115264797507788</v>
      </c>
      <c r="U80" s="213">
        <f>+U71/$U$8</f>
        <v>0.009365244536940686</v>
      </c>
      <c r="V80" s="192"/>
    </row>
    <row r="81" spans="2:22" s="4" customFormat="1" ht="12.75">
      <c r="B81" s="484"/>
      <c r="C81" s="28" t="s">
        <v>31</v>
      </c>
      <c r="D81" s="1022">
        <v>-0.043010752688172046</v>
      </c>
      <c r="E81" s="213">
        <v>-0.04529616724738676</v>
      </c>
      <c r="F81" s="213">
        <v>-0.01683381088825215</v>
      </c>
      <c r="G81" s="213">
        <v>0.0052976791120080725</v>
      </c>
      <c r="H81" s="220"/>
      <c r="I81" s="213">
        <v>0.014545454545454545</v>
      </c>
      <c r="J81" s="213">
        <v>0.029715762273901807</v>
      </c>
      <c r="K81" s="213">
        <v>0.012212045517624202</v>
      </c>
      <c r="L81" s="1003">
        <v>0.03006012024048096</v>
      </c>
      <c r="M81" s="213"/>
      <c r="N81" s="213">
        <v>0.014545454545454545</v>
      </c>
      <c r="O81" s="213">
        <v>0.029715762273901807</v>
      </c>
      <c r="P81" s="213">
        <v>0.012212045517624202</v>
      </c>
      <c r="Q81" s="213">
        <v>0.03006012024048096</v>
      </c>
      <c r="R81" s="213"/>
      <c r="S81" s="213">
        <v>-0.013888888888888888</v>
      </c>
      <c r="T81" s="213">
        <v>-0.0007883326763894363</v>
      </c>
      <c r="U81" s="213">
        <f>+U72/$U$9</f>
        <v>0.017870626730430404</v>
      </c>
      <c r="V81" s="192"/>
    </row>
    <row r="82" spans="2:22" s="4" customFormat="1" ht="12.75">
      <c r="B82" s="484"/>
      <c r="C82" s="28" t="s">
        <v>89</v>
      </c>
      <c r="D82" s="1022">
        <v>-0.9318181818181818</v>
      </c>
      <c r="E82" s="213">
        <v>-0.8061224489795918</v>
      </c>
      <c r="F82" s="213">
        <v>-0.8161764705882353</v>
      </c>
      <c r="G82" s="213">
        <v>-0.6618357487922706</v>
      </c>
      <c r="H82" s="220"/>
      <c r="I82" s="213">
        <v>-0.4482758620689655</v>
      </c>
      <c r="J82" s="213">
        <v>-0.416</v>
      </c>
      <c r="K82" s="213">
        <v>-0.47191011235955055</v>
      </c>
      <c r="L82" s="1003">
        <v>-0.4448669201520912</v>
      </c>
      <c r="M82" s="213"/>
      <c r="N82" s="213">
        <v>-0.4482758620689655</v>
      </c>
      <c r="O82" s="213">
        <v>-0.416</v>
      </c>
      <c r="P82" s="213">
        <v>-0.47191011235955055</v>
      </c>
      <c r="Q82" s="213">
        <v>-0.4448669201520912</v>
      </c>
      <c r="R82" s="213"/>
      <c r="S82" s="213">
        <v>-0.5</v>
      </c>
      <c r="T82" s="213">
        <v>-0.46621621621621623</v>
      </c>
      <c r="U82" s="213">
        <f>+U73/$U$10</f>
        <v>-0.44285714285714284</v>
      </c>
      <c r="V82" s="192"/>
    </row>
    <row r="83" spans="2:22" s="4" customFormat="1" ht="12.75">
      <c r="B83" s="484"/>
      <c r="C83" s="28" t="s">
        <v>9</v>
      </c>
      <c r="D83" s="1022">
        <v>-0.18085106382978725</v>
      </c>
      <c r="E83" s="213">
        <v>-0.1650943396226415</v>
      </c>
      <c r="F83" s="213">
        <v>-0.1644295302013423</v>
      </c>
      <c r="G83" s="213">
        <v>-0.11363636363636363</v>
      </c>
      <c r="H83" s="220"/>
      <c r="I83" s="213">
        <v>-0.1686746987951807</v>
      </c>
      <c r="J83" s="213">
        <v>-0.125</v>
      </c>
      <c r="K83" s="213">
        <v>-0.11307420494699646</v>
      </c>
      <c r="L83" s="1003">
        <v>-0.16176470588235295</v>
      </c>
      <c r="M83" s="213"/>
      <c r="N83" s="213">
        <v>-0.1686746987951807</v>
      </c>
      <c r="O83" s="213">
        <v>-0.125</v>
      </c>
      <c r="P83" s="213">
        <v>-0.11307420494699646</v>
      </c>
      <c r="Q83" s="213">
        <v>-0.16176470588235295</v>
      </c>
      <c r="R83" s="213"/>
      <c r="S83" s="213">
        <v>-0.10843373493975904</v>
      </c>
      <c r="T83" s="213">
        <v>-0.08888888888888889</v>
      </c>
      <c r="U83" s="213">
        <f>+U74/$U$11</f>
        <v>-0.1111111111111111</v>
      </c>
      <c r="V83" s="192"/>
    </row>
    <row r="84" spans="2:22" s="4" customFormat="1" ht="12.75">
      <c r="B84" s="484"/>
      <c r="C84" s="56" t="s">
        <v>10</v>
      </c>
      <c r="D84" s="1023">
        <v>0.2651697407110398</v>
      </c>
      <c r="E84" s="223">
        <v>0.24786436256928596</v>
      </c>
      <c r="F84" s="223">
        <v>0.2432912049861496</v>
      </c>
      <c r="G84" s="215">
        <v>0.23779376498800958</v>
      </c>
      <c r="H84" s="220"/>
      <c r="I84" s="215">
        <v>0.23381962864721487</v>
      </c>
      <c r="J84" s="215">
        <v>0.22294764059469943</v>
      </c>
      <c r="K84" s="215">
        <v>0.22139871590468393</v>
      </c>
      <c r="L84" s="1005">
        <v>0.1842122083732822</v>
      </c>
      <c r="M84" s="215"/>
      <c r="N84" s="223">
        <v>0.24307692307692308</v>
      </c>
      <c r="O84" s="223">
        <v>0.23172719567060052</v>
      </c>
      <c r="P84" s="223">
        <v>0.22982959485306903</v>
      </c>
      <c r="Q84" s="223">
        <v>0.19201625124947602</v>
      </c>
      <c r="R84" s="223"/>
      <c r="S84" s="223">
        <v>0.20937243080295972</v>
      </c>
      <c r="T84" s="223">
        <v>0.1757649278878555</v>
      </c>
      <c r="U84" s="223">
        <f>+U76/$U$13</f>
        <v>0.1876869503102817</v>
      </c>
      <c r="V84" s="192"/>
    </row>
    <row r="85" spans="2:22" s="4" customFormat="1" ht="12.75">
      <c r="B85" s="484"/>
      <c r="C85" s="56"/>
      <c r="D85" s="1024"/>
      <c r="E85" s="877"/>
      <c r="F85" s="877"/>
      <c r="G85" s="210"/>
      <c r="H85" s="210"/>
      <c r="I85" s="876"/>
      <c r="J85" s="341"/>
      <c r="K85" s="341"/>
      <c r="L85" s="1025"/>
      <c r="M85" s="341"/>
      <c r="N85" s="876"/>
      <c r="O85" s="341"/>
      <c r="P85" s="341"/>
      <c r="Q85" s="951"/>
      <c r="R85" s="314"/>
      <c r="S85" s="951"/>
      <c r="T85" s="951"/>
      <c r="U85" s="951"/>
      <c r="V85" s="192"/>
    </row>
    <row r="86" spans="2:22" s="4" customFormat="1" ht="12.75">
      <c r="B86" s="484"/>
      <c r="C86" s="310" t="s">
        <v>372</v>
      </c>
      <c r="D86" s="205">
        <v>-71</v>
      </c>
      <c r="E86" s="205">
        <v>-26</v>
      </c>
      <c r="F86" s="205">
        <v>2</v>
      </c>
      <c r="G86" s="205">
        <v>127</v>
      </c>
      <c r="H86" s="217"/>
      <c r="I86" s="205">
        <v>-10</v>
      </c>
      <c r="J86" s="205">
        <v>42</v>
      </c>
      <c r="K86" s="205">
        <v>40</v>
      </c>
      <c r="L86" s="978">
        <v>610</v>
      </c>
      <c r="M86" s="205"/>
      <c r="N86" s="205">
        <v>-10</v>
      </c>
      <c r="O86" s="205">
        <v>42</v>
      </c>
      <c r="P86" s="205">
        <v>40</v>
      </c>
      <c r="Q86" s="205">
        <v>609</v>
      </c>
      <c r="R86" s="1375"/>
      <c r="S86" s="205">
        <v>-13</v>
      </c>
      <c r="T86" s="205">
        <v>300</v>
      </c>
      <c r="U86" s="205">
        <f>+U95-U76</f>
        <v>310</v>
      </c>
      <c r="V86" s="192"/>
    </row>
    <row r="87" spans="2:24" s="4" customFormat="1" ht="12.75">
      <c r="B87" s="484"/>
      <c r="C87" s="28"/>
      <c r="D87" s="1026"/>
      <c r="E87" s="343"/>
      <c r="F87" s="343"/>
      <c r="G87" s="343"/>
      <c r="H87" s="343"/>
      <c r="I87" s="343"/>
      <c r="J87" s="343"/>
      <c r="K87" s="343"/>
      <c r="L87" s="1027"/>
      <c r="M87" s="343"/>
      <c r="N87" s="343"/>
      <c r="O87" s="343"/>
      <c r="P87" s="343"/>
      <c r="Q87" s="343"/>
      <c r="R87" s="148"/>
      <c r="S87" s="343"/>
      <c r="T87" s="343"/>
      <c r="U87" s="343"/>
      <c r="V87" s="192"/>
      <c r="X87" s="1396"/>
    </row>
    <row r="88" spans="2:22" s="4" customFormat="1" ht="12.75">
      <c r="B88" s="484"/>
      <c r="C88" s="58" t="s">
        <v>317</v>
      </c>
      <c r="D88" s="1028"/>
      <c r="E88" s="878"/>
      <c r="F88" s="878"/>
      <c r="G88" s="334"/>
      <c r="H88" s="334"/>
      <c r="I88" s="878"/>
      <c r="J88" s="210"/>
      <c r="K88" s="210"/>
      <c r="L88" s="1029"/>
      <c r="M88" s="334"/>
      <c r="N88" s="878"/>
      <c r="O88" s="210"/>
      <c r="P88" s="210"/>
      <c r="Q88" s="334"/>
      <c r="R88" s="314"/>
      <c r="S88" s="334"/>
      <c r="T88" s="334"/>
      <c r="U88" s="334"/>
      <c r="V88" s="192"/>
    </row>
    <row r="89" spans="2:22" s="4" customFormat="1" ht="12.75">
      <c r="B89" s="484"/>
      <c r="C89" s="879" t="s">
        <v>7</v>
      </c>
      <c r="D89" s="1030">
        <v>2026</v>
      </c>
      <c r="E89" s="299">
        <v>3993</v>
      </c>
      <c r="F89" s="299">
        <v>5863</v>
      </c>
      <c r="G89" s="299">
        <v>7761</v>
      </c>
      <c r="H89" s="219"/>
      <c r="I89" s="208">
        <v>1816</v>
      </c>
      <c r="J89" s="967">
        <v>3580</v>
      </c>
      <c r="K89" s="967">
        <v>5323</v>
      </c>
      <c r="L89" s="1031">
        <v>6502</v>
      </c>
      <c r="M89" s="299"/>
      <c r="N89" s="299">
        <v>1780</v>
      </c>
      <c r="O89" s="299">
        <v>3499</v>
      </c>
      <c r="P89" s="299">
        <v>5226</v>
      </c>
      <c r="Q89" s="299">
        <v>6338</v>
      </c>
      <c r="R89" s="148"/>
      <c r="S89" s="299">
        <v>1553</v>
      </c>
      <c r="T89" s="299">
        <v>2979</v>
      </c>
      <c r="U89" s="299">
        <f>+T89+'Key fin. data by BU by quarter'!U90</f>
        <v>4537</v>
      </c>
      <c r="V89" s="192"/>
    </row>
    <row r="90" spans="2:22" s="4" customFormat="1" ht="12.75">
      <c r="B90" s="484"/>
      <c r="C90" s="28" t="s">
        <v>8</v>
      </c>
      <c r="D90" s="1032">
        <v>-38</v>
      </c>
      <c r="E90" s="256">
        <v>-78</v>
      </c>
      <c r="F90" s="256">
        <v>-106</v>
      </c>
      <c r="G90" s="256">
        <v>-125</v>
      </c>
      <c r="H90" s="207"/>
      <c r="I90" s="256">
        <v>-31</v>
      </c>
      <c r="J90" s="256">
        <v>-50</v>
      </c>
      <c r="K90" s="256">
        <v>-55</v>
      </c>
      <c r="L90" s="992">
        <v>-65</v>
      </c>
      <c r="M90" s="256"/>
      <c r="N90" s="256">
        <v>22</v>
      </c>
      <c r="O90" s="256">
        <v>52</v>
      </c>
      <c r="P90" s="256">
        <v>89</v>
      </c>
      <c r="Q90" s="256">
        <v>122</v>
      </c>
      <c r="R90" s="148"/>
      <c r="S90" s="256">
        <v>6</v>
      </c>
      <c r="T90" s="256">
        <v>2</v>
      </c>
      <c r="U90" s="256">
        <f>+T90+'Key fin. data by BU by quarter'!U91</f>
        <v>9</v>
      </c>
      <c r="V90" s="192"/>
    </row>
    <row r="91" spans="2:22" s="4" customFormat="1" ht="12.75">
      <c r="B91" s="484"/>
      <c r="C91" s="28" t="s">
        <v>31</v>
      </c>
      <c r="D91" s="1032">
        <v>-27</v>
      </c>
      <c r="E91" s="256">
        <v>-69</v>
      </c>
      <c r="F91" s="256">
        <v>-43</v>
      </c>
      <c r="G91" s="256">
        <v>25</v>
      </c>
      <c r="H91" s="207"/>
      <c r="I91" s="256">
        <v>16</v>
      </c>
      <c r="J91" s="256">
        <v>69</v>
      </c>
      <c r="K91" s="256">
        <v>44</v>
      </c>
      <c r="L91" s="992">
        <v>150</v>
      </c>
      <c r="M91" s="256"/>
      <c r="N91" s="256">
        <v>16</v>
      </c>
      <c r="O91" s="256">
        <v>69</v>
      </c>
      <c r="P91" s="256">
        <v>44</v>
      </c>
      <c r="Q91" s="256">
        <v>150</v>
      </c>
      <c r="R91" s="148"/>
      <c r="S91" s="256">
        <v>-17</v>
      </c>
      <c r="T91" s="256">
        <v>-2</v>
      </c>
      <c r="U91" s="256">
        <f>+T91+'Key fin. data by BU by quarter'!U92</f>
        <v>71</v>
      </c>
      <c r="V91" s="192"/>
    </row>
    <row r="92" spans="2:22" s="4" customFormat="1" ht="12.75">
      <c r="B92" s="484"/>
      <c r="C92" s="28" t="s">
        <v>89</v>
      </c>
      <c r="D92" s="1032">
        <v>-40</v>
      </c>
      <c r="E92" s="256">
        <v>-74</v>
      </c>
      <c r="F92" s="256">
        <v>-106</v>
      </c>
      <c r="G92" s="256">
        <v>-132</v>
      </c>
      <c r="H92" s="207"/>
      <c r="I92" s="256">
        <v>-25</v>
      </c>
      <c r="J92" s="256">
        <v>-51</v>
      </c>
      <c r="K92" s="256">
        <v>-83</v>
      </c>
      <c r="L92" s="992">
        <v>-115</v>
      </c>
      <c r="M92" s="256"/>
      <c r="N92" s="256">
        <v>-26</v>
      </c>
      <c r="O92" s="256">
        <v>-52</v>
      </c>
      <c r="P92" s="256">
        <v>-84</v>
      </c>
      <c r="Q92" s="256">
        <v>-117</v>
      </c>
      <c r="R92" s="148"/>
      <c r="S92" s="256">
        <v>-37</v>
      </c>
      <c r="T92" s="256">
        <v>-69</v>
      </c>
      <c r="U92" s="256">
        <f>+T92+'Key fin. data by BU by quarter'!U93</f>
        <v>-93</v>
      </c>
      <c r="V92" s="192"/>
    </row>
    <row r="93" spans="2:22" s="4" customFormat="1" ht="12.75">
      <c r="B93" s="484"/>
      <c r="C93" s="28" t="s">
        <v>9</v>
      </c>
      <c r="D93" s="1032">
        <v>-16</v>
      </c>
      <c r="E93" s="256">
        <v>-28</v>
      </c>
      <c r="F93" s="256">
        <v>-40</v>
      </c>
      <c r="G93" s="256">
        <v>-31</v>
      </c>
      <c r="H93" s="207"/>
      <c r="I93" s="256">
        <v>-14</v>
      </c>
      <c r="J93" s="256">
        <v>-25</v>
      </c>
      <c r="K93" s="256">
        <v>-32</v>
      </c>
      <c r="L93" s="992">
        <v>-34</v>
      </c>
      <c r="M93" s="256"/>
      <c r="N93" s="256">
        <v>-14</v>
      </c>
      <c r="O93" s="256">
        <v>-25</v>
      </c>
      <c r="P93" s="256">
        <v>-33</v>
      </c>
      <c r="Q93" s="256">
        <v>-41</v>
      </c>
      <c r="R93" s="148"/>
      <c r="S93" s="256">
        <v>-9</v>
      </c>
      <c r="T93" s="256">
        <v>-16</v>
      </c>
      <c r="U93" s="256">
        <f>+T93+'Key fin. data by BU by quarter'!U94</f>
        <v>-28</v>
      </c>
      <c r="V93" s="192"/>
    </row>
    <row r="94" spans="2:22" s="4" customFormat="1" ht="12.75">
      <c r="B94" s="484"/>
      <c r="C94" s="28" t="s">
        <v>338</v>
      </c>
      <c r="D94" s="991">
        <v>8</v>
      </c>
      <c r="E94" s="254">
        <v>31</v>
      </c>
      <c r="F94" s="254">
        <v>55</v>
      </c>
      <c r="G94" s="254">
        <v>66</v>
      </c>
      <c r="H94" s="254"/>
      <c r="I94" s="254">
        <v>28</v>
      </c>
      <c r="J94" s="254">
        <v>52</v>
      </c>
      <c r="K94" s="254">
        <v>83</v>
      </c>
      <c r="L94" s="998">
        <v>113</v>
      </c>
      <c r="M94" s="254"/>
      <c r="N94" s="254">
        <v>29</v>
      </c>
      <c r="O94" s="254">
        <v>53</v>
      </c>
      <c r="P94" s="254">
        <v>85</v>
      </c>
      <c r="Q94" s="254">
        <v>112</v>
      </c>
      <c r="R94" s="148"/>
      <c r="S94" s="254">
        <v>19</v>
      </c>
      <c r="T94" s="254">
        <v>14</v>
      </c>
      <c r="U94" s="254">
        <f>+T94+'Key fin. data by BU by quarter'!U95</f>
        <v>18</v>
      </c>
      <c r="V94" s="192"/>
    </row>
    <row r="95" spans="2:22" s="4" customFormat="1" ht="12.75">
      <c r="B95" s="484"/>
      <c r="C95" s="56" t="s">
        <v>10</v>
      </c>
      <c r="D95" s="1016">
        <v>1913</v>
      </c>
      <c r="E95" s="255">
        <v>3775</v>
      </c>
      <c r="F95" s="255">
        <v>5623</v>
      </c>
      <c r="G95" s="212">
        <v>7564</v>
      </c>
      <c r="H95" s="207"/>
      <c r="I95" s="212">
        <v>1790</v>
      </c>
      <c r="J95" s="212">
        <v>3575</v>
      </c>
      <c r="K95" s="212">
        <v>5280</v>
      </c>
      <c r="L95" s="995">
        <v>6551</v>
      </c>
      <c r="M95" s="212"/>
      <c r="N95" s="212">
        <v>1807</v>
      </c>
      <c r="O95" s="212">
        <v>3596</v>
      </c>
      <c r="P95" s="212">
        <v>5327</v>
      </c>
      <c r="Q95" s="212">
        <v>6564</v>
      </c>
      <c r="R95" s="148"/>
      <c r="S95" s="212">
        <v>1515</v>
      </c>
      <c r="T95" s="212">
        <v>2908</v>
      </c>
      <c r="U95" s="212">
        <f>+T95+'Key fin. data by BU by quarter'!U96</f>
        <v>4514</v>
      </c>
      <c r="V95" s="192"/>
    </row>
    <row r="96" spans="2:22" s="4" customFormat="1" ht="12.75">
      <c r="B96" s="484"/>
      <c r="C96" s="28"/>
      <c r="D96" s="1018"/>
      <c r="E96" s="209"/>
      <c r="F96" s="209"/>
      <c r="G96" s="210"/>
      <c r="H96" s="210"/>
      <c r="I96" s="336"/>
      <c r="J96" s="224"/>
      <c r="K96" s="224"/>
      <c r="L96" s="1033"/>
      <c r="M96" s="224"/>
      <c r="N96" s="336"/>
      <c r="O96" s="224"/>
      <c r="P96" s="224"/>
      <c r="Q96" s="224"/>
      <c r="R96" s="148"/>
      <c r="S96" s="224"/>
      <c r="T96" s="224"/>
      <c r="U96" s="224"/>
      <c r="V96" s="192"/>
    </row>
    <row r="97" spans="2:22" s="4" customFormat="1" ht="12.75">
      <c r="B97" s="484"/>
      <c r="C97" s="57" t="s">
        <v>315</v>
      </c>
      <c r="D97" s="1028"/>
      <c r="E97" s="878"/>
      <c r="F97" s="878"/>
      <c r="G97" s="334"/>
      <c r="H97" s="334"/>
      <c r="I97" s="878"/>
      <c r="J97" s="344"/>
      <c r="K97" s="344"/>
      <c r="L97" s="1034"/>
      <c r="M97" s="344"/>
      <c r="N97" s="878"/>
      <c r="O97" s="344"/>
      <c r="P97" s="344"/>
      <c r="Q97" s="344"/>
      <c r="R97" s="314"/>
      <c r="S97" s="344"/>
      <c r="T97" s="344"/>
      <c r="U97" s="344"/>
      <c r="V97" s="192"/>
    </row>
    <row r="98" spans="2:22" s="4" customFormat="1" ht="12.75">
      <c r="B98" s="484"/>
      <c r="C98" s="28" t="s">
        <v>7</v>
      </c>
      <c r="D98" s="1002">
        <v>0.3217405113546133</v>
      </c>
      <c r="E98" s="213">
        <v>0.31008775335870153</v>
      </c>
      <c r="F98" s="213">
        <v>0.30499921968475263</v>
      </c>
      <c r="G98" s="221">
        <v>0.3009889470622455</v>
      </c>
      <c r="H98" s="222"/>
      <c r="I98" s="213">
        <v>0.30221334664669663</v>
      </c>
      <c r="J98" s="213">
        <v>0.29387621080282383</v>
      </c>
      <c r="K98" s="213">
        <v>0.29395847139385906</v>
      </c>
      <c r="L98" s="1003">
        <v>0.26845582163501236</v>
      </c>
      <c r="M98" s="221"/>
      <c r="N98" s="213">
        <v>0.2962223331669163</v>
      </c>
      <c r="O98" s="213">
        <v>0.2872270563125924</v>
      </c>
      <c r="P98" s="213">
        <v>0.2886017229953612</v>
      </c>
      <c r="Q98" s="213">
        <v>0.2613392709879598</v>
      </c>
      <c r="R98" s="213"/>
      <c r="S98" s="213">
        <v>0.27638369816693364</v>
      </c>
      <c r="T98" s="213">
        <v>0.26085814360770576</v>
      </c>
      <c r="U98" s="213">
        <f>+U89/$U$5</f>
        <v>0.2644864171621779</v>
      </c>
      <c r="V98" s="192"/>
    </row>
    <row r="99" spans="2:22" s="4" customFormat="1" ht="12.75">
      <c r="B99" s="484"/>
      <c r="C99" s="28" t="s">
        <v>8</v>
      </c>
      <c r="D99" s="1002">
        <v>-0.18627450980392157</v>
      </c>
      <c r="E99" s="213">
        <v>-0.18266978922716628</v>
      </c>
      <c r="F99" s="213">
        <v>-0.16012084592145015</v>
      </c>
      <c r="G99" s="221">
        <v>-0.1366120218579235</v>
      </c>
      <c r="H99" s="222"/>
      <c r="I99" s="213">
        <v>-0.10197368421052631</v>
      </c>
      <c r="J99" s="213">
        <v>-0.07194244604316546</v>
      </c>
      <c r="K99" s="213">
        <v>-0.04972875226039783</v>
      </c>
      <c r="L99" s="1003">
        <v>-0.042071197411003236</v>
      </c>
      <c r="M99" s="221"/>
      <c r="N99" s="213">
        <v>0.10185185185185185</v>
      </c>
      <c r="O99" s="213">
        <v>0.1015625</v>
      </c>
      <c r="P99" s="213">
        <v>0.10800970873786407</v>
      </c>
      <c r="Q99" s="213">
        <v>0.10599478714161599</v>
      </c>
      <c r="R99" s="213"/>
      <c r="S99" s="213">
        <v>0.018575851393188854</v>
      </c>
      <c r="T99" s="213">
        <v>0.003115264797507788</v>
      </c>
      <c r="U99" s="213">
        <f>+U90/$U$8</f>
        <v>0.009365244536940686</v>
      </c>
      <c r="V99" s="192"/>
    </row>
    <row r="100" spans="2:22" s="4" customFormat="1" ht="12.75">
      <c r="B100" s="484"/>
      <c r="C100" s="28" t="s">
        <v>31</v>
      </c>
      <c r="D100" s="1002">
        <v>-0.03225806451612903</v>
      </c>
      <c r="E100" s="213">
        <v>-0.04006968641114982</v>
      </c>
      <c r="F100" s="213">
        <v>-0.015401146131805158</v>
      </c>
      <c r="G100" s="221">
        <v>0.006306760847628658</v>
      </c>
      <c r="H100" s="222"/>
      <c r="I100" s="213">
        <v>0.014545454545454545</v>
      </c>
      <c r="J100" s="213">
        <v>0.029715762273901807</v>
      </c>
      <c r="K100" s="213">
        <v>0.012212045517624202</v>
      </c>
      <c r="L100" s="1003">
        <v>0.03006012024048096</v>
      </c>
      <c r="M100" s="221"/>
      <c r="N100" s="213">
        <v>0.014545454545454545</v>
      </c>
      <c r="O100" s="213">
        <v>0.029715762273901807</v>
      </c>
      <c r="P100" s="213">
        <v>0.012212045517624202</v>
      </c>
      <c r="Q100" s="213">
        <v>0.03006012024048096</v>
      </c>
      <c r="R100" s="213"/>
      <c r="S100" s="213">
        <v>-0.013888888888888888</v>
      </c>
      <c r="T100" s="213">
        <v>-0.0007883326763894363</v>
      </c>
      <c r="U100" s="213">
        <f>+U91/$U$9</f>
        <v>0.017870626730430404</v>
      </c>
      <c r="V100" s="192"/>
    </row>
    <row r="101" spans="2:22" s="4" customFormat="1" ht="12.75">
      <c r="B101" s="484"/>
      <c r="C101" s="28" t="s">
        <v>89</v>
      </c>
      <c r="D101" s="1002">
        <v>-0.9090909090909091</v>
      </c>
      <c r="E101" s="213">
        <v>-0.7551020408163265</v>
      </c>
      <c r="F101" s="213">
        <v>-0.7794117647058824</v>
      </c>
      <c r="G101" s="221">
        <v>-0.6376811594202898</v>
      </c>
      <c r="H101" s="222"/>
      <c r="I101" s="213">
        <v>-0.43103448275862066</v>
      </c>
      <c r="J101" s="213">
        <v>-0.408</v>
      </c>
      <c r="K101" s="213">
        <v>-0.46629213483146065</v>
      </c>
      <c r="L101" s="1003">
        <v>-0.4372623574144487</v>
      </c>
      <c r="M101" s="221"/>
      <c r="N101" s="213">
        <v>-0.4482758620689655</v>
      </c>
      <c r="O101" s="213">
        <v>-0.416</v>
      </c>
      <c r="P101" s="213">
        <v>-0.47191011235955055</v>
      </c>
      <c r="Q101" s="213">
        <v>-0.4448669201520912</v>
      </c>
      <c r="R101" s="213"/>
      <c r="S101" s="213">
        <v>-0.5</v>
      </c>
      <c r="T101" s="213">
        <v>-0.46621621621621623</v>
      </c>
      <c r="U101" s="213">
        <f>+U92/$U$10</f>
        <v>-0.44285714285714284</v>
      </c>
      <c r="V101" s="192"/>
    </row>
    <row r="102" spans="2:22" s="4" customFormat="1" ht="12.75">
      <c r="B102" s="484"/>
      <c r="C102" s="28" t="s">
        <v>9</v>
      </c>
      <c r="D102" s="1002">
        <v>-0.1702127659574468</v>
      </c>
      <c r="E102" s="213">
        <v>-0.1320754716981132</v>
      </c>
      <c r="F102" s="213">
        <v>-0.1342281879194631</v>
      </c>
      <c r="G102" s="221">
        <v>-0.07045454545454545</v>
      </c>
      <c r="H102" s="222"/>
      <c r="I102" s="213">
        <v>-0.1686746987951807</v>
      </c>
      <c r="J102" s="213">
        <v>-0.13020833333333334</v>
      </c>
      <c r="K102" s="213">
        <v>-0.11307420494699646</v>
      </c>
      <c r="L102" s="1003">
        <v>-0.08333333333333333</v>
      </c>
      <c r="M102" s="221"/>
      <c r="N102" s="213">
        <v>-0.1686746987951807</v>
      </c>
      <c r="O102" s="213">
        <v>-0.13020833333333334</v>
      </c>
      <c r="P102" s="213">
        <v>-0.1166077738515901</v>
      </c>
      <c r="Q102" s="213">
        <v>-0.10049019607843138</v>
      </c>
      <c r="R102" s="213"/>
      <c r="S102" s="213">
        <v>-0.10843373493975904</v>
      </c>
      <c r="T102" s="213">
        <v>-0.08888888888888889</v>
      </c>
      <c r="U102" s="213">
        <f>+U93/$U$11</f>
        <v>-0.1111111111111111</v>
      </c>
      <c r="V102" s="192"/>
    </row>
    <row r="103" spans="2:22" s="4" customFormat="1" ht="12.75">
      <c r="B103" s="484"/>
      <c r="C103" s="56" t="s">
        <v>10</v>
      </c>
      <c r="D103" s="1004">
        <v>0.2556802993851911</v>
      </c>
      <c r="E103" s="223">
        <v>0.2461688946853603</v>
      </c>
      <c r="F103" s="223">
        <v>0.2433777700831025</v>
      </c>
      <c r="G103" s="223">
        <v>0.24185451638689048</v>
      </c>
      <c r="H103" s="224"/>
      <c r="I103" s="215">
        <v>0.23740053050397877</v>
      </c>
      <c r="J103" s="215">
        <v>0.23109243697478993</v>
      </c>
      <c r="K103" s="215">
        <v>0.22751755935709053</v>
      </c>
      <c r="L103" s="1005">
        <v>0.20936401406200064</v>
      </c>
      <c r="M103" s="223"/>
      <c r="N103" s="223">
        <v>0.2417391304347826</v>
      </c>
      <c r="O103" s="223">
        <v>0.23446567125252657</v>
      </c>
      <c r="P103" s="223">
        <v>0.23156842288297688</v>
      </c>
      <c r="Q103" s="223">
        <v>0.21143501368980513</v>
      </c>
      <c r="R103" s="223"/>
      <c r="S103" s="223">
        <v>0.2075911208550288</v>
      </c>
      <c r="T103" s="223">
        <v>0.19598328615716404</v>
      </c>
      <c r="U103" s="223">
        <f>+U95/$U$13</f>
        <v>0.20152685387740524</v>
      </c>
      <c r="V103" s="192"/>
    </row>
    <row r="104" spans="2:22" s="4" customFormat="1" ht="12.75">
      <c r="B104" s="484"/>
      <c r="C104" s="28"/>
      <c r="D104" s="984"/>
      <c r="E104" s="252"/>
      <c r="F104" s="252"/>
      <c r="G104" s="224"/>
      <c r="H104" s="224"/>
      <c r="I104" s="317"/>
      <c r="J104" s="224"/>
      <c r="K104" s="224"/>
      <c r="L104" s="1033"/>
      <c r="M104" s="224"/>
      <c r="N104" s="317"/>
      <c r="O104" s="224"/>
      <c r="P104" s="224"/>
      <c r="Q104" s="224"/>
      <c r="R104" s="148"/>
      <c r="S104" s="224"/>
      <c r="T104" s="224"/>
      <c r="U104" s="224"/>
      <c r="V104" s="192"/>
    </row>
    <row r="105" spans="2:22" s="4" customFormat="1" ht="12.75">
      <c r="B105" s="484"/>
      <c r="C105" s="880" t="s">
        <v>127</v>
      </c>
      <c r="D105" s="1020"/>
      <c r="E105" s="321"/>
      <c r="F105" s="321"/>
      <c r="G105" s="321"/>
      <c r="H105" s="320"/>
      <c r="I105" s="346"/>
      <c r="J105" s="345"/>
      <c r="K105" s="345"/>
      <c r="L105" s="1035"/>
      <c r="M105" s="952"/>
      <c r="N105" s="321"/>
      <c r="O105" s="345"/>
      <c r="P105" s="345"/>
      <c r="Q105" s="952"/>
      <c r="R105" s="314"/>
      <c r="S105" s="952"/>
      <c r="T105" s="952"/>
      <c r="U105" s="952"/>
      <c r="V105" s="192"/>
    </row>
    <row r="106" spans="2:22" s="4" customFormat="1" ht="12.75">
      <c r="B106" s="484"/>
      <c r="C106" s="879" t="s">
        <v>7</v>
      </c>
      <c r="D106" s="1036">
        <v>850</v>
      </c>
      <c r="E106" s="881">
        <v>1793</v>
      </c>
      <c r="F106" s="881">
        <v>2615</v>
      </c>
      <c r="G106" s="300">
        <v>3894</v>
      </c>
      <c r="H106" s="226"/>
      <c r="I106" s="967">
        <v>867</v>
      </c>
      <c r="J106" s="967">
        <v>1895</v>
      </c>
      <c r="K106" s="967">
        <v>2817</v>
      </c>
      <c r="L106" s="1031">
        <v>4064</v>
      </c>
      <c r="M106" s="881"/>
      <c r="N106" s="881">
        <v>867</v>
      </c>
      <c r="O106" s="881">
        <v>1895</v>
      </c>
      <c r="P106" s="881">
        <v>2817</v>
      </c>
      <c r="Q106" s="881">
        <v>4064</v>
      </c>
      <c r="R106" s="148"/>
      <c r="S106" s="881">
        <v>970</v>
      </c>
      <c r="T106" s="881">
        <v>1952</v>
      </c>
      <c r="U106" s="881">
        <f>+T106+'Key fin. data by BU by quarter'!U107</f>
        <v>2646</v>
      </c>
      <c r="V106" s="192"/>
    </row>
    <row r="107" spans="2:22" s="4" customFormat="1" ht="12.75">
      <c r="B107" s="484"/>
      <c r="C107" s="28" t="s">
        <v>8</v>
      </c>
      <c r="D107" s="1037">
        <v>95</v>
      </c>
      <c r="E107" s="229">
        <v>228</v>
      </c>
      <c r="F107" s="229">
        <v>344</v>
      </c>
      <c r="G107" s="301">
        <v>467</v>
      </c>
      <c r="H107" s="228"/>
      <c r="I107" s="229">
        <v>142</v>
      </c>
      <c r="J107" s="229">
        <v>252</v>
      </c>
      <c r="K107" s="229">
        <v>363</v>
      </c>
      <c r="L107" s="1038">
        <v>508</v>
      </c>
      <c r="M107" s="229"/>
      <c r="N107" s="229">
        <v>110</v>
      </c>
      <c r="O107" s="229">
        <v>190</v>
      </c>
      <c r="P107" s="229">
        <v>269</v>
      </c>
      <c r="Q107" s="229">
        <v>358</v>
      </c>
      <c r="R107" s="148"/>
      <c r="S107" s="229">
        <v>100</v>
      </c>
      <c r="T107" s="229">
        <v>189</v>
      </c>
      <c r="U107" s="229">
        <f>+T107+'Key fin. data by BU by quarter'!U108</f>
        <v>253</v>
      </c>
      <c r="V107" s="192"/>
    </row>
    <row r="108" spans="2:22" s="4" customFormat="1" ht="12.75">
      <c r="B108" s="484"/>
      <c r="C108" s="28" t="s">
        <v>31</v>
      </c>
      <c r="D108" s="1037">
        <v>63</v>
      </c>
      <c r="E108" s="229">
        <v>193</v>
      </c>
      <c r="F108" s="229">
        <v>329</v>
      </c>
      <c r="G108" s="301">
        <v>699</v>
      </c>
      <c r="H108" s="228"/>
      <c r="I108" s="229">
        <v>116</v>
      </c>
      <c r="J108" s="229">
        <v>271</v>
      </c>
      <c r="K108" s="229">
        <v>442</v>
      </c>
      <c r="L108" s="1038">
        <v>865</v>
      </c>
      <c r="M108" s="229"/>
      <c r="N108" s="229">
        <v>116</v>
      </c>
      <c r="O108" s="229">
        <v>271</v>
      </c>
      <c r="P108" s="229">
        <v>442</v>
      </c>
      <c r="Q108" s="229">
        <v>865</v>
      </c>
      <c r="R108" s="148"/>
      <c r="S108" s="229">
        <v>139</v>
      </c>
      <c r="T108" s="229">
        <v>824</v>
      </c>
      <c r="U108" s="229">
        <f>+T108+'Key fin. data by BU by quarter'!U109</f>
        <v>1073</v>
      </c>
      <c r="V108" s="192"/>
    </row>
    <row r="109" spans="2:22" s="4" customFormat="1" ht="12.75">
      <c r="B109" s="484"/>
      <c r="C109" s="28" t="s">
        <v>89</v>
      </c>
      <c r="D109" s="1037">
        <v>45</v>
      </c>
      <c r="E109" s="229">
        <v>59</v>
      </c>
      <c r="F109" s="229">
        <v>65</v>
      </c>
      <c r="G109" s="301">
        <v>85</v>
      </c>
      <c r="H109" s="228"/>
      <c r="I109" s="229">
        <v>30</v>
      </c>
      <c r="J109" s="229">
        <v>46</v>
      </c>
      <c r="K109" s="229">
        <v>54</v>
      </c>
      <c r="L109" s="1038">
        <v>69</v>
      </c>
      <c r="M109" s="229"/>
      <c r="N109" s="229">
        <v>30</v>
      </c>
      <c r="O109" s="229">
        <v>46</v>
      </c>
      <c r="P109" s="229">
        <v>54</v>
      </c>
      <c r="Q109" s="229">
        <v>69</v>
      </c>
      <c r="R109" s="148"/>
      <c r="S109" s="229">
        <v>18</v>
      </c>
      <c r="T109" s="229">
        <v>27</v>
      </c>
      <c r="U109" s="229">
        <f>+T109+'Key fin. data by BU by quarter'!U110</f>
        <v>34</v>
      </c>
      <c r="V109" s="192"/>
    </row>
    <row r="110" spans="2:22" s="4" customFormat="1" ht="12.75">
      <c r="B110" s="484"/>
      <c r="C110" s="28" t="s">
        <v>9</v>
      </c>
      <c r="D110" s="1037">
        <v>2</v>
      </c>
      <c r="E110" s="229">
        <v>5</v>
      </c>
      <c r="F110" s="229">
        <v>6</v>
      </c>
      <c r="G110" s="301">
        <v>10</v>
      </c>
      <c r="H110" s="228"/>
      <c r="I110" s="229">
        <v>2</v>
      </c>
      <c r="J110" s="229">
        <v>5</v>
      </c>
      <c r="K110" s="229">
        <v>7</v>
      </c>
      <c r="L110" s="1038">
        <v>8</v>
      </c>
      <c r="M110" s="229"/>
      <c r="N110" s="229">
        <v>2</v>
      </c>
      <c r="O110" s="229">
        <v>5</v>
      </c>
      <c r="P110" s="229">
        <v>7</v>
      </c>
      <c r="Q110" s="229">
        <v>8</v>
      </c>
      <c r="R110" s="148"/>
      <c r="S110" s="229">
        <v>1</v>
      </c>
      <c r="T110" s="229">
        <v>1</v>
      </c>
      <c r="U110" s="229">
        <f>+T110+'Key fin. data by BU by quarter'!U111</f>
        <v>2</v>
      </c>
      <c r="V110" s="192"/>
    </row>
    <row r="111" spans="2:22" s="4" customFormat="1" ht="12.75">
      <c r="B111" s="484"/>
      <c r="C111" s="28" t="s">
        <v>338</v>
      </c>
      <c r="D111" s="991">
        <v>-30</v>
      </c>
      <c r="E111" s="254">
        <v>-62</v>
      </c>
      <c r="F111" s="254">
        <v>-60</v>
      </c>
      <c r="G111" s="254">
        <v>-41</v>
      </c>
      <c r="H111" s="254"/>
      <c r="I111" s="254">
        <v>3</v>
      </c>
      <c r="J111" s="254">
        <v>5</v>
      </c>
      <c r="K111" s="254">
        <v>5</v>
      </c>
      <c r="L111" s="998">
        <v>6</v>
      </c>
      <c r="M111" s="254"/>
      <c r="N111" s="254">
        <v>3</v>
      </c>
      <c r="O111" s="254">
        <v>5</v>
      </c>
      <c r="P111" s="254">
        <v>6</v>
      </c>
      <c r="Q111" s="254">
        <v>6</v>
      </c>
      <c r="R111" s="148"/>
      <c r="S111" s="254">
        <v>0</v>
      </c>
      <c r="T111" s="254">
        <v>-37</v>
      </c>
      <c r="U111" s="254">
        <f>+T111+'Key fin. data by BU by quarter'!U112</f>
        <v>-41</v>
      </c>
      <c r="V111" s="192"/>
    </row>
    <row r="112" spans="2:22" s="4" customFormat="1" ht="12.75">
      <c r="B112" s="484"/>
      <c r="C112" s="56" t="s">
        <v>10</v>
      </c>
      <c r="D112" s="1018">
        <v>1025</v>
      </c>
      <c r="E112" s="209">
        <v>2216</v>
      </c>
      <c r="F112" s="882">
        <v>3299</v>
      </c>
      <c r="G112" s="209">
        <v>5114</v>
      </c>
      <c r="H112" s="228"/>
      <c r="I112" s="876">
        <v>1160</v>
      </c>
      <c r="J112" s="882">
        <v>2474</v>
      </c>
      <c r="K112" s="882">
        <v>3688</v>
      </c>
      <c r="L112" s="1039">
        <v>5520</v>
      </c>
      <c r="M112" s="882"/>
      <c r="N112" s="876">
        <v>1128</v>
      </c>
      <c r="O112" s="882">
        <v>2412</v>
      </c>
      <c r="P112" s="882">
        <v>3595</v>
      </c>
      <c r="Q112" s="882">
        <v>5370</v>
      </c>
      <c r="R112" s="148"/>
      <c r="S112" s="882">
        <v>1228</v>
      </c>
      <c r="T112" s="882">
        <v>2956</v>
      </c>
      <c r="U112" s="882">
        <f>+T112+'Key fin. data by BU by quarter'!U113</f>
        <v>3967</v>
      </c>
      <c r="V112" s="192"/>
    </row>
    <row r="113" spans="2:22" s="4" customFormat="1" ht="12.75">
      <c r="B113" s="484"/>
      <c r="C113" s="883"/>
      <c r="D113" s="1040"/>
      <c r="E113" s="346"/>
      <c r="F113" s="346"/>
      <c r="G113" s="228"/>
      <c r="H113" s="228"/>
      <c r="I113" s="346"/>
      <c r="J113" s="345"/>
      <c r="K113" s="345"/>
      <c r="L113" s="1035"/>
      <c r="M113" s="345"/>
      <c r="N113" s="346"/>
      <c r="O113" s="345"/>
      <c r="P113" s="345"/>
      <c r="Q113" s="345"/>
      <c r="R113" s="148"/>
      <c r="S113" s="345"/>
      <c r="T113" s="345"/>
      <c r="U113" s="345"/>
      <c r="V113" s="192"/>
    </row>
    <row r="114" spans="2:24" s="4" customFormat="1" ht="12.75">
      <c r="B114" s="484"/>
      <c r="C114" s="880" t="s">
        <v>128</v>
      </c>
      <c r="D114" s="1041"/>
      <c r="E114" s="321"/>
      <c r="F114" s="321"/>
      <c r="G114" s="320"/>
      <c r="H114" s="320"/>
      <c r="I114" s="347"/>
      <c r="J114" s="348"/>
      <c r="K114" s="348"/>
      <c r="L114" s="1042"/>
      <c r="M114" s="348"/>
      <c r="N114" s="347"/>
      <c r="O114" s="348"/>
      <c r="P114" s="348"/>
      <c r="Q114" s="348"/>
      <c r="R114" s="314"/>
      <c r="S114" s="348"/>
      <c r="T114" s="348"/>
      <c r="U114" s="348"/>
      <c r="V114" s="192"/>
      <c r="X114" s="1214"/>
    </row>
    <row r="115" spans="2:24" s="4" customFormat="1" ht="12.75">
      <c r="B115" s="484"/>
      <c r="C115" s="28" t="s">
        <v>7</v>
      </c>
      <c r="D115" s="1022">
        <v>0.13498491345084962</v>
      </c>
      <c r="E115" s="213">
        <v>0.01770598741942999</v>
      </c>
      <c r="F115" s="213">
        <v>0.017895229672787807</v>
      </c>
      <c r="G115" s="213">
        <v>0.15101803374054684</v>
      </c>
      <c r="H115" s="210"/>
      <c r="I115" s="213">
        <v>0.14428357463804292</v>
      </c>
      <c r="J115" s="213">
        <v>0.15555737974060088</v>
      </c>
      <c r="K115" s="213">
        <v>0.1555666003976143</v>
      </c>
      <c r="L115" s="1003">
        <v>0.16779521056977703</v>
      </c>
      <c r="M115" s="213"/>
      <c r="N115" s="213">
        <v>0.14428357463804292</v>
      </c>
      <c r="O115" s="213">
        <v>0.15555737974060088</v>
      </c>
      <c r="P115" s="213">
        <v>0.1555666003976143</v>
      </c>
      <c r="Q115" s="213">
        <v>0.16779521056977703</v>
      </c>
      <c r="R115" s="213"/>
      <c r="S115" s="213">
        <v>0.17262858159814914</v>
      </c>
      <c r="T115" s="213">
        <v>0.17092819614711033</v>
      </c>
      <c r="U115" s="213">
        <f>+U106/$U$5</f>
        <v>0.15424973767051417</v>
      </c>
      <c r="V115" s="192"/>
      <c r="X115" s="1214"/>
    </row>
    <row r="116" spans="2:24" s="4" customFormat="1" ht="12.75">
      <c r="B116" s="484"/>
      <c r="C116" s="28" t="s">
        <v>8</v>
      </c>
      <c r="D116" s="1022">
        <v>0.46568627450980393</v>
      </c>
      <c r="E116" s="213">
        <v>0.4519906323185012</v>
      </c>
      <c r="F116" s="213">
        <v>0.49697885196374625</v>
      </c>
      <c r="G116" s="213">
        <v>0.5103825136612021</v>
      </c>
      <c r="H116" s="210"/>
      <c r="I116" s="213">
        <v>0.46710526315789475</v>
      </c>
      <c r="J116" s="213">
        <v>0.36258992805755397</v>
      </c>
      <c r="K116" s="213">
        <v>0.3282097649186257</v>
      </c>
      <c r="L116" s="1003">
        <v>0.32880258899676373</v>
      </c>
      <c r="M116" s="213"/>
      <c r="N116" s="213">
        <v>0.5092592592592593</v>
      </c>
      <c r="O116" s="213">
        <v>0.37109375</v>
      </c>
      <c r="P116" s="213">
        <v>0.32645631067961167</v>
      </c>
      <c r="Q116" s="213">
        <v>0.3110338835794961</v>
      </c>
      <c r="R116" s="213"/>
      <c r="S116" s="213">
        <v>0.30959752321981426</v>
      </c>
      <c r="T116" s="213">
        <v>0.29439252336448596</v>
      </c>
      <c r="U116" s="213">
        <f>+U107/$U$8</f>
        <v>0.26326742976066597</v>
      </c>
      <c r="V116" s="192"/>
      <c r="X116" s="1214"/>
    </row>
    <row r="117" spans="2:25" s="4" customFormat="1" ht="12.75">
      <c r="B117" s="484"/>
      <c r="C117" s="28" t="s">
        <v>31</v>
      </c>
      <c r="D117" s="1022">
        <v>0.07526881720430108</v>
      </c>
      <c r="E117" s="213">
        <v>0.03426248548199768</v>
      </c>
      <c r="F117" s="213">
        <v>0.02328080229226361</v>
      </c>
      <c r="G117" s="213">
        <v>0.17633703329969727</v>
      </c>
      <c r="H117" s="210"/>
      <c r="I117" s="213">
        <v>0.10545454545454545</v>
      </c>
      <c r="J117" s="213">
        <v>0.11670973298880276</v>
      </c>
      <c r="K117" s="213">
        <v>0.12267554815431585</v>
      </c>
      <c r="L117" s="1003">
        <v>0.17334669338677355</v>
      </c>
      <c r="M117" s="213"/>
      <c r="N117" s="213">
        <v>0.10545454545454545</v>
      </c>
      <c r="O117" s="213">
        <v>0.11670973298880276</v>
      </c>
      <c r="P117" s="213">
        <v>0.12267554815431585</v>
      </c>
      <c r="Q117" s="213">
        <v>0.17334669338677355</v>
      </c>
      <c r="R117" s="213"/>
      <c r="S117" s="213">
        <v>0.11356209150326797</v>
      </c>
      <c r="T117" s="213">
        <v>0.3247930626724478</v>
      </c>
      <c r="U117" s="213">
        <f>+U108/$U$9</f>
        <v>0.27007299270072993</v>
      </c>
      <c r="V117" s="192"/>
      <c r="X117" s="3"/>
      <c r="Y117" s="1214"/>
    </row>
    <row r="118" spans="2:25" s="4" customFormat="1" ht="12.75">
      <c r="B118" s="484"/>
      <c r="C118" s="28" t="s">
        <v>89</v>
      </c>
      <c r="D118" s="1022">
        <v>1.0227272727272727</v>
      </c>
      <c r="E118" s="213">
        <v>0.05102040816326531</v>
      </c>
      <c r="F118" s="213">
        <v>0.04411764705882353</v>
      </c>
      <c r="G118" s="213">
        <v>0.4106280193236715</v>
      </c>
      <c r="H118" s="210"/>
      <c r="I118" s="213">
        <v>0.5172413793103449</v>
      </c>
      <c r="J118" s="213">
        <v>0.368</v>
      </c>
      <c r="K118" s="213">
        <v>0.30337078651685395</v>
      </c>
      <c r="L118" s="1003">
        <v>0.2623574144486692</v>
      </c>
      <c r="M118" s="213"/>
      <c r="N118" s="213">
        <v>0.5172413793103449</v>
      </c>
      <c r="O118" s="213">
        <v>0.368</v>
      </c>
      <c r="P118" s="213">
        <v>0.30337078651685395</v>
      </c>
      <c r="Q118" s="213">
        <v>0.2623574144486692</v>
      </c>
      <c r="R118" s="213"/>
      <c r="S118" s="213">
        <v>0.24324324324324326</v>
      </c>
      <c r="T118" s="213">
        <v>0.18243243243243243</v>
      </c>
      <c r="U118" s="213">
        <f>+U109/$U$10</f>
        <v>0.1619047619047619</v>
      </c>
      <c r="V118" s="192"/>
      <c r="X118" s="3"/>
      <c r="Y118" s="1214"/>
    </row>
    <row r="119" spans="2:25" s="4" customFormat="1" ht="12.75">
      <c r="B119" s="484"/>
      <c r="C119" s="28" t="s">
        <v>9</v>
      </c>
      <c r="D119" s="1022">
        <v>0.02127659574468085</v>
      </c>
      <c r="E119" s="213">
        <v>-0.29245283018867924</v>
      </c>
      <c r="F119" s="213">
        <v>-0.20134228187919462</v>
      </c>
      <c r="G119" s="213">
        <v>0.022727272727272728</v>
      </c>
      <c r="H119" s="210"/>
      <c r="I119" s="213">
        <v>0.024096385542168676</v>
      </c>
      <c r="J119" s="213">
        <v>0.026041666666666668</v>
      </c>
      <c r="K119" s="213">
        <v>0.024734982332155476</v>
      </c>
      <c r="L119" s="1003">
        <v>0.0196078431372549</v>
      </c>
      <c r="M119" s="213"/>
      <c r="N119" s="213">
        <v>0.024096385542168676</v>
      </c>
      <c r="O119" s="213">
        <v>0.026041666666666668</v>
      </c>
      <c r="P119" s="213">
        <v>0.024734982332155476</v>
      </c>
      <c r="Q119" s="213">
        <v>0.0196078431372549</v>
      </c>
      <c r="R119" s="213"/>
      <c r="S119" s="213">
        <v>0.012048192771084338</v>
      </c>
      <c r="T119" s="213">
        <v>0.005555555555555556</v>
      </c>
      <c r="U119" s="213">
        <f>+U110/$U$11</f>
        <v>0.007936507936507936</v>
      </c>
      <c r="V119" s="192"/>
      <c r="X119" s="3"/>
      <c r="Y119" s="1214"/>
    </row>
    <row r="120" spans="2:25" s="4" customFormat="1" ht="12.75">
      <c r="B120" s="484"/>
      <c r="C120" s="56" t="s">
        <v>10</v>
      </c>
      <c r="D120" s="1043">
        <v>0.13699545576049185</v>
      </c>
      <c r="E120" s="324">
        <v>0.1445060319530486</v>
      </c>
      <c r="F120" s="324">
        <v>0.14278912742382271</v>
      </c>
      <c r="G120" s="326">
        <v>0.1635171862509992</v>
      </c>
      <c r="H120" s="334"/>
      <c r="I120" s="326">
        <v>0.15384615384615385</v>
      </c>
      <c r="J120" s="326">
        <v>0.1599224305106658</v>
      </c>
      <c r="K120" s="326">
        <v>0.1589175679751799</v>
      </c>
      <c r="L120" s="987">
        <v>0.17641418983700863</v>
      </c>
      <c r="M120" s="223"/>
      <c r="N120" s="223">
        <v>0.1509030100334448</v>
      </c>
      <c r="O120" s="223">
        <v>0.15726674056203951</v>
      </c>
      <c r="P120" s="223">
        <v>0.1562771691879673</v>
      </c>
      <c r="Q120" s="223">
        <v>0.17315319382194563</v>
      </c>
      <c r="R120" s="223"/>
      <c r="S120" s="223">
        <v>0.16826527815839956</v>
      </c>
      <c r="T120" s="223">
        <v>0.1992182234802534</v>
      </c>
      <c r="U120" s="223">
        <f>+U112/$U$13</f>
        <v>0.17710612080896468</v>
      </c>
      <c r="V120" s="192"/>
      <c r="X120" s="3"/>
      <c r="Y120" s="3"/>
    </row>
    <row r="121" spans="2:25" s="4" customFormat="1" ht="12.75">
      <c r="B121" s="484"/>
      <c r="C121" s="56"/>
      <c r="D121" s="215"/>
      <c r="E121" s="223"/>
      <c r="F121" s="223"/>
      <c r="G121" s="215"/>
      <c r="H121" s="210"/>
      <c r="I121" s="215"/>
      <c r="J121" s="223"/>
      <c r="K121" s="223"/>
      <c r="L121" s="223"/>
      <c r="M121" s="223"/>
      <c r="N121" s="215"/>
      <c r="O121" s="223"/>
      <c r="P121" s="223"/>
      <c r="Q121" s="223"/>
      <c r="R121" s="148"/>
      <c r="S121" s="324"/>
      <c r="T121" s="324"/>
      <c r="U121" s="324"/>
      <c r="V121" s="192"/>
      <c r="X121" s="3"/>
      <c r="Y121" s="3"/>
    </row>
    <row r="122" spans="2:25" s="1214" customFormat="1" ht="12.75">
      <c r="B122" s="1208"/>
      <c r="C122" s="1408" t="s">
        <v>531</v>
      </c>
      <c r="D122" s="1210"/>
      <c r="E122" s="1210"/>
      <c r="F122" s="1210"/>
      <c r="G122" s="1210"/>
      <c r="H122" s="1210"/>
      <c r="I122" s="1210"/>
      <c r="J122" s="1211"/>
      <c r="K122" s="1211"/>
      <c r="L122" s="1211"/>
      <c r="M122" s="1212"/>
      <c r="N122" s="1210"/>
      <c r="O122" s="1212"/>
      <c r="P122" s="1212"/>
      <c r="Q122" s="1212"/>
      <c r="R122" s="1212"/>
      <c r="S122" s="1212"/>
      <c r="T122" s="1212"/>
      <c r="U122" s="1212"/>
      <c r="V122" s="1213"/>
      <c r="X122" s="3"/>
      <c r="Y122" s="3"/>
    </row>
    <row r="123" spans="2:25" s="1214" customFormat="1" ht="12.75">
      <c r="B123" s="1208"/>
      <c r="C123" s="1409" t="s">
        <v>532</v>
      </c>
      <c r="D123" s="1215"/>
      <c r="E123" s="1215"/>
      <c r="F123" s="1215"/>
      <c r="G123" s="1215"/>
      <c r="H123" s="1215"/>
      <c r="I123" s="1215"/>
      <c r="J123" s="1216"/>
      <c r="K123" s="1216"/>
      <c r="L123" s="1216"/>
      <c r="M123" s="1217"/>
      <c r="N123" s="1215"/>
      <c r="O123" s="1234"/>
      <c r="P123" s="1217"/>
      <c r="Q123" s="1217"/>
      <c r="R123" s="1217"/>
      <c r="S123" s="1217"/>
      <c r="T123" s="1217"/>
      <c r="U123" s="1217"/>
      <c r="V123" s="1213"/>
      <c r="X123" s="3"/>
      <c r="Y123" s="3"/>
    </row>
    <row r="124" spans="2:25" s="1214" customFormat="1" ht="15" customHeight="1">
      <c r="B124" s="1219"/>
      <c r="C124" s="1220"/>
      <c r="D124" s="1221"/>
      <c r="E124" s="1221"/>
      <c r="F124" s="1221"/>
      <c r="G124" s="1222"/>
      <c r="H124" s="1223"/>
      <c r="I124" s="1224"/>
      <c r="J124" s="1225"/>
      <c r="K124" s="1225"/>
      <c r="L124" s="1225"/>
      <c r="M124" s="1225"/>
      <c r="N124" s="1224"/>
      <c r="O124" s="1225"/>
      <c r="P124" s="1225"/>
      <c r="Q124" s="1225"/>
      <c r="R124" s="1225"/>
      <c r="S124" s="1225"/>
      <c r="T124" s="1225"/>
      <c r="U124" s="1225"/>
      <c r="V124" s="1226"/>
      <c r="X124" s="3"/>
      <c r="Y124" s="3"/>
    </row>
  </sheetData>
  <sheetProtection password="DAD6" sheet="1" formatCells="0" formatColumns="0" formatRows="0" insertColumns="0" insertRows="0" insertHyperlinks="0" deleteColumns="0" deleteRows="0" sort="0" autoFilter="0" pivotTables="0"/>
  <mergeCells count="3">
    <mergeCell ref="D3:L3"/>
    <mergeCell ref="N3:S3"/>
    <mergeCell ref="N68:S68"/>
  </mergeCells>
  <hyperlinks>
    <hyperlink ref="C15" location="'Rep&amp;org. fig. YTD'!G6" display="Exceptional items (aka &quot;other non organic items&quot;)"/>
    <hyperlink ref="C86" location="'Rep&amp;org. fig. YTD'!G6" display="Exceptional items (aka &quot;other non organic items&quot;)"/>
    <hyperlink ref="C45" location="'Rep&amp;org. fig. YTD'!G6" display="Exceptional items (aka &quot;other non organic items&quot;)"/>
    <hyperlink ref="X10" location="'Domestic Business Results'!A1" display="Domestic Business Results"/>
    <hyperlink ref="X11" location="'Domestic Wireline Results'!A1" display="Domestic Wireline Results"/>
    <hyperlink ref="X12" location="'Domestic Mobile Results'!A1" display="Domestic Mobile Results"/>
    <hyperlink ref="X13" location="'TIM Brasil Results'!A1" display="TIM Brasil Results"/>
    <hyperlink ref="X14" location="'European BroadBand'!A1" display="European BroadBand"/>
    <hyperlink ref="X18" location="'Main Group''s Subsidiries'!A1" display="Main Group's Subsidiaries"/>
    <hyperlink ref="X19" location="'Analyst Tools'!A1" display="Analyst Tools"/>
    <hyperlink ref="X20" location="'Historic Data'!A1" display="Historic Data"/>
    <hyperlink ref="X6" location="'P&amp;L Group by quarter'!A1" display="P&amp;L Group by quarter"/>
    <hyperlink ref="X7" location="'Key fin. data by BU by quarter'!A1" display="Key Financial data by quarter"/>
    <hyperlink ref="X5" location="'P&amp;L Group YTD'!A1" display="P&amp;L Group YTD"/>
    <hyperlink ref="X8" location="'Balance Sheet'!A1" display="Balance Sheet"/>
    <hyperlink ref="X9" location="'Cashflow Statement'!A1" display="Cashflow Statement"/>
    <hyperlink ref="X15" location="'1Q Rep&amp;org.'!A1" display="Repoerted &amp; Organic figures"/>
    <hyperlink ref="X16" location="'2Q Rep&amp;org.'!A1" display="Reported &amp; Organic figures 2Q08 vs 2Q07"/>
    <hyperlink ref="X17" location="'3Q Rep&amp;org.'!A1" display="Reported &amp; Organic figures 3Q08 vs 3Q07"/>
    <hyperlink ref="X21" location="Cover!A1" display="Cover"/>
  </hyperlinks>
  <printOptions horizontalCentered="1" verticalCentered="1"/>
  <pageMargins left="0" right="0" top="0" bottom="0" header="0.5118110236220472" footer="0.31496062992125984"/>
  <pageSetup horizontalDpi="600" verticalDpi="600" orientation="landscape" paperSize="9" scale="60" r:id="rId3"/>
  <rowBreaks count="1" manualBreakCount="1">
    <brk id="66" min="1" max="19" man="1"/>
  </rowBreaks>
  <drawing r:id="rId1"/>
  <legacyDrawingHF r:id="rId2"/>
</worksheet>
</file>

<file path=xl/worksheets/sheet5.xml><?xml version="1.0" encoding="utf-8"?>
<worksheet xmlns="http://schemas.openxmlformats.org/spreadsheetml/2006/main" xmlns:r="http://schemas.openxmlformats.org/officeDocument/2006/relationships">
  <sheetPr codeName="Foglio5"/>
  <dimension ref="B1:Y125"/>
  <sheetViews>
    <sheetView showGridLines="0" zoomScaleSheetLayoutView="100" workbookViewId="0" topLeftCell="A1">
      <selection activeCell="C2" sqref="C2"/>
    </sheetView>
  </sheetViews>
  <sheetFormatPr defaultColWidth="9.140625" defaultRowHeight="12.75"/>
  <cols>
    <col min="1" max="1" width="0.9921875" style="3" customWidth="1"/>
    <col min="2" max="2" width="2.7109375" style="3" customWidth="1"/>
    <col min="3" max="3" width="57.28125" style="3" customWidth="1"/>
    <col min="4" max="7" width="8.8515625" style="3" hidden="1" customWidth="1"/>
    <col min="8" max="8" width="1.28515625" style="4" hidden="1" customWidth="1"/>
    <col min="9" max="9" width="8.8515625" style="3" hidden="1" customWidth="1"/>
    <col min="10" max="12" width="8.8515625" style="34" hidden="1" customWidth="1"/>
    <col min="13" max="13" width="0.9921875" style="34" customWidth="1"/>
    <col min="14" max="14" width="8.8515625" style="3" customWidth="1"/>
    <col min="15" max="17" width="8.8515625" style="34" customWidth="1"/>
    <col min="18" max="18" width="0.9921875" style="34" customWidth="1"/>
    <col min="19" max="21" width="8.8515625" style="34" customWidth="1"/>
    <col min="22" max="22" width="2.7109375" style="3" customWidth="1"/>
    <col min="23" max="23" width="1.421875" style="3" customWidth="1"/>
    <col min="24" max="24" width="33.00390625" style="3" customWidth="1"/>
    <col min="25" max="16384" width="9.140625" style="3" customWidth="1"/>
  </cols>
  <sheetData>
    <row r="1" spans="3:5" ht="12.75">
      <c r="C1" s="968"/>
      <c r="D1" s="968"/>
      <c r="E1" s="968"/>
    </row>
    <row r="2" spans="2:22" ht="42.75" customHeight="1">
      <c r="B2" s="960"/>
      <c r="C2" s="957"/>
      <c r="D2" s="957"/>
      <c r="E2" s="957"/>
      <c r="F2" s="957"/>
      <c r="G2" s="957"/>
      <c r="H2" s="957"/>
      <c r="I2" s="957"/>
      <c r="J2" s="957"/>
      <c r="K2" s="957"/>
      <c r="L2" s="957"/>
      <c r="M2" s="957"/>
      <c r="N2" s="957"/>
      <c r="O2" s="957"/>
      <c r="P2" s="957"/>
      <c r="Q2" s="957"/>
      <c r="R2" s="957"/>
      <c r="S2" s="957"/>
      <c r="T2" s="957"/>
      <c r="U2" s="957"/>
      <c r="V2" s="958"/>
    </row>
    <row r="3" spans="2:24" ht="24" customHeight="1">
      <c r="B3" s="114"/>
      <c r="C3" s="115"/>
      <c r="D3" s="115"/>
      <c r="E3" s="115"/>
      <c r="F3" s="115"/>
      <c r="G3" s="115"/>
      <c r="H3" s="115"/>
      <c r="I3" s="115"/>
      <c r="J3" s="115"/>
      <c r="K3" s="115"/>
      <c r="L3" s="115"/>
      <c r="M3" s="115"/>
      <c r="N3" s="115"/>
      <c r="O3" s="115"/>
      <c r="P3" s="115"/>
      <c r="Q3" s="115"/>
      <c r="R3" s="115"/>
      <c r="S3" s="115"/>
      <c r="T3" s="115"/>
      <c r="U3" s="115"/>
      <c r="V3" s="116"/>
      <c r="X3" s="30" t="s">
        <v>59</v>
      </c>
    </row>
    <row r="4" spans="2:24" ht="24" customHeight="1">
      <c r="B4" s="114"/>
      <c r="C4" s="115"/>
      <c r="D4" s="1507" t="s">
        <v>342</v>
      </c>
      <c r="E4" s="1508"/>
      <c r="F4" s="1508"/>
      <c r="G4" s="1508"/>
      <c r="H4" s="1508"/>
      <c r="I4" s="1508"/>
      <c r="J4" s="1508"/>
      <c r="K4" s="1508"/>
      <c r="L4" s="1509"/>
      <c r="M4" s="151"/>
      <c r="N4" s="1506" t="s">
        <v>367</v>
      </c>
      <c r="O4" s="1506"/>
      <c r="P4" s="1506"/>
      <c r="Q4" s="1506"/>
      <c r="R4" s="1506"/>
      <c r="S4" s="1506"/>
      <c r="T4" s="115"/>
      <c r="U4" s="115"/>
      <c r="V4" s="116"/>
      <c r="X4" s="31" t="s">
        <v>56</v>
      </c>
    </row>
    <row r="5" spans="2:24" ht="12.75">
      <c r="B5" s="15"/>
      <c r="C5" s="35" t="s">
        <v>140</v>
      </c>
      <c r="D5" s="969" t="s">
        <v>2</v>
      </c>
      <c r="E5" s="18" t="s">
        <v>3</v>
      </c>
      <c r="F5" s="18" t="s">
        <v>4</v>
      </c>
      <c r="G5" s="18" t="s">
        <v>5</v>
      </c>
      <c r="H5" s="32"/>
      <c r="I5" s="17" t="s">
        <v>6</v>
      </c>
      <c r="J5" s="17" t="s">
        <v>142</v>
      </c>
      <c r="K5" s="17" t="s">
        <v>143</v>
      </c>
      <c r="L5" s="970" t="s">
        <v>228</v>
      </c>
      <c r="M5" s="32"/>
      <c r="N5" s="17" t="s">
        <v>6</v>
      </c>
      <c r="O5" s="17" t="s">
        <v>142</v>
      </c>
      <c r="P5" s="17" t="s">
        <v>143</v>
      </c>
      <c r="Q5" s="17" t="s">
        <v>228</v>
      </c>
      <c r="R5" s="32"/>
      <c r="S5" s="18" t="s">
        <v>339</v>
      </c>
      <c r="T5" s="18" t="s">
        <v>435</v>
      </c>
      <c r="U5" s="18" t="s">
        <v>537</v>
      </c>
      <c r="V5" s="23"/>
      <c r="X5" s="139" t="s">
        <v>206</v>
      </c>
    </row>
    <row r="6" spans="2:24" ht="12.75">
      <c r="B6" s="15"/>
      <c r="C6" s="29" t="s">
        <v>7</v>
      </c>
      <c r="D6" s="1044">
        <v>6297</v>
      </c>
      <c r="E6" s="800">
        <v>6580</v>
      </c>
      <c r="F6" s="800">
        <v>6346</v>
      </c>
      <c r="G6" s="800">
        <v>6562</v>
      </c>
      <c r="H6" s="800"/>
      <c r="I6" s="801">
        <v>6009</v>
      </c>
      <c r="J6" s="801">
        <v>6173</v>
      </c>
      <c r="K6" s="801">
        <v>5926</v>
      </c>
      <c r="L6" s="1045">
        <v>6112</v>
      </c>
      <c r="M6" s="800"/>
      <c r="N6" s="800">
        <v>6009</v>
      </c>
      <c r="O6" s="800">
        <v>6173</v>
      </c>
      <c r="P6" s="800">
        <v>5926</v>
      </c>
      <c r="Q6" s="208">
        <v>6112</v>
      </c>
      <c r="R6" s="208"/>
      <c r="S6" s="800">
        <v>5619</v>
      </c>
      <c r="T6" s="800">
        <v>5801</v>
      </c>
      <c r="U6" s="800">
        <v>5734</v>
      </c>
      <c r="V6" s="23"/>
      <c r="X6" s="139" t="s">
        <v>208</v>
      </c>
    </row>
    <row r="7" spans="2:24" ht="12.75">
      <c r="B7" s="15"/>
      <c r="C7" s="37" t="s">
        <v>145</v>
      </c>
      <c r="D7" s="1044">
        <v>4286</v>
      </c>
      <c r="E7" s="800">
        <v>4313</v>
      </c>
      <c r="F7" s="800">
        <v>4108</v>
      </c>
      <c r="G7" s="800">
        <v>4281</v>
      </c>
      <c r="H7" s="800"/>
      <c r="I7" s="801">
        <v>3989</v>
      </c>
      <c r="J7" s="801">
        <v>3994</v>
      </c>
      <c r="K7" s="801">
        <v>3765</v>
      </c>
      <c r="L7" s="1045">
        <v>3979</v>
      </c>
      <c r="M7" s="800"/>
      <c r="N7" s="800">
        <v>3989</v>
      </c>
      <c r="O7" s="800">
        <v>3994</v>
      </c>
      <c r="P7" s="800">
        <v>3765</v>
      </c>
      <c r="Q7" s="208">
        <v>3979</v>
      </c>
      <c r="R7" s="208"/>
      <c r="S7" s="800">
        <v>3746</v>
      </c>
      <c r="T7" s="800">
        <v>3739</v>
      </c>
      <c r="U7" s="800">
        <v>3643</v>
      </c>
      <c r="V7" s="23"/>
      <c r="X7" s="139" t="s">
        <v>207</v>
      </c>
    </row>
    <row r="8" spans="2:24" ht="12.75">
      <c r="B8" s="15"/>
      <c r="C8" s="37" t="s">
        <v>130</v>
      </c>
      <c r="D8" s="1044">
        <v>2370</v>
      </c>
      <c r="E8" s="800">
        <v>2612</v>
      </c>
      <c r="F8" s="800">
        <v>2583</v>
      </c>
      <c r="G8" s="800">
        <v>2645</v>
      </c>
      <c r="H8" s="800"/>
      <c r="I8" s="801">
        <v>2365</v>
      </c>
      <c r="J8" s="801">
        <v>2551</v>
      </c>
      <c r="K8" s="801">
        <v>2513</v>
      </c>
      <c r="L8" s="1045">
        <v>2493</v>
      </c>
      <c r="M8" s="800"/>
      <c r="N8" s="800">
        <v>2365</v>
      </c>
      <c r="O8" s="800">
        <v>2551</v>
      </c>
      <c r="P8" s="800">
        <v>2513</v>
      </c>
      <c r="Q8" s="208">
        <v>2493</v>
      </c>
      <c r="R8" s="208"/>
      <c r="S8" s="800">
        <v>2236</v>
      </c>
      <c r="T8" s="800">
        <v>2433</v>
      </c>
      <c r="U8" s="800">
        <v>2451</v>
      </c>
      <c r="V8" s="23"/>
      <c r="X8" s="139" t="s">
        <v>310</v>
      </c>
    </row>
    <row r="9" spans="2:24" ht="12.75">
      <c r="B9" s="15"/>
      <c r="C9" s="29" t="s">
        <v>8</v>
      </c>
      <c r="D9" s="1044">
        <v>204</v>
      </c>
      <c r="E9" s="800">
        <v>223</v>
      </c>
      <c r="F9" s="800">
        <v>235</v>
      </c>
      <c r="G9" s="800">
        <v>253</v>
      </c>
      <c r="H9" s="800"/>
      <c r="I9" s="800">
        <v>304</v>
      </c>
      <c r="J9" s="800">
        <v>391</v>
      </c>
      <c r="K9" s="800">
        <v>411</v>
      </c>
      <c r="L9" s="1046">
        <v>439</v>
      </c>
      <c r="M9" s="800"/>
      <c r="N9" s="800">
        <v>216</v>
      </c>
      <c r="O9" s="800">
        <v>296</v>
      </c>
      <c r="P9" s="800">
        <v>312</v>
      </c>
      <c r="Q9" s="208">
        <v>327</v>
      </c>
      <c r="R9" s="208"/>
      <c r="S9" s="800">
        <v>323</v>
      </c>
      <c r="T9" s="800">
        <v>319</v>
      </c>
      <c r="U9" s="800">
        <v>319</v>
      </c>
      <c r="V9" s="23"/>
      <c r="X9" s="139" t="s">
        <v>311</v>
      </c>
    </row>
    <row r="10" spans="2:24" ht="12.75">
      <c r="B10" s="15"/>
      <c r="C10" s="29" t="s">
        <v>31</v>
      </c>
      <c r="D10" s="1044">
        <v>837</v>
      </c>
      <c r="E10" s="800">
        <v>885</v>
      </c>
      <c r="F10" s="800">
        <v>1070</v>
      </c>
      <c r="G10" s="800">
        <v>1172</v>
      </c>
      <c r="H10" s="800"/>
      <c r="I10" s="800">
        <v>1100</v>
      </c>
      <c r="J10" s="800">
        <v>1222</v>
      </c>
      <c r="K10" s="800">
        <v>1281</v>
      </c>
      <c r="L10" s="1046">
        <v>1387</v>
      </c>
      <c r="M10" s="800"/>
      <c r="N10" s="800">
        <v>1100</v>
      </c>
      <c r="O10" s="800">
        <v>1222</v>
      </c>
      <c r="P10" s="800">
        <v>1281</v>
      </c>
      <c r="Q10" s="208">
        <v>1387</v>
      </c>
      <c r="R10" s="208"/>
      <c r="S10" s="800">
        <v>1224</v>
      </c>
      <c r="T10" s="800">
        <v>1313</v>
      </c>
      <c r="U10" s="800">
        <v>1436</v>
      </c>
      <c r="V10" s="23"/>
      <c r="X10" s="139" t="s">
        <v>12</v>
      </c>
    </row>
    <row r="11" spans="2:24" ht="12.75">
      <c r="B11" s="15"/>
      <c r="C11" s="29" t="s">
        <v>89</v>
      </c>
      <c r="D11" s="1044">
        <v>44</v>
      </c>
      <c r="E11" s="800">
        <v>54</v>
      </c>
      <c r="F11" s="800">
        <v>38</v>
      </c>
      <c r="G11" s="800">
        <v>71</v>
      </c>
      <c r="H11" s="800"/>
      <c r="I11" s="800">
        <v>58</v>
      </c>
      <c r="J11" s="800">
        <v>67</v>
      </c>
      <c r="K11" s="800">
        <v>53</v>
      </c>
      <c r="L11" s="1046">
        <v>85</v>
      </c>
      <c r="M11" s="800"/>
      <c r="N11" s="800">
        <v>58</v>
      </c>
      <c r="O11" s="800">
        <v>67</v>
      </c>
      <c r="P11" s="800">
        <v>53</v>
      </c>
      <c r="Q11" s="208">
        <v>85</v>
      </c>
      <c r="R11" s="208"/>
      <c r="S11" s="800">
        <v>74</v>
      </c>
      <c r="T11" s="800">
        <v>74</v>
      </c>
      <c r="U11" s="800">
        <v>62</v>
      </c>
      <c r="V11" s="23"/>
      <c r="X11" s="139" t="s">
        <v>220</v>
      </c>
    </row>
    <row r="12" spans="2:24" ht="12.75">
      <c r="B12" s="15"/>
      <c r="C12" s="29" t="s">
        <v>9</v>
      </c>
      <c r="D12" s="1044">
        <v>94</v>
      </c>
      <c r="E12" s="800">
        <v>118</v>
      </c>
      <c r="F12" s="800">
        <v>86</v>
      </c>
      <c r="G12" s="800">
        <v>142</v>
      </c>
      <c r="H12" s="800"/>
      <c r="I12" s="800">
        <v>83</v>
      </c>
      <c r="J12" s="800">
        <v>109</v>
      </c>
      <c r="K12" s="800">
        <v>91</v>
      </c>
      <c r="L12" s="1046">
        <v>125</v>
      </c>
      <c r="M12" s="800"/>
      <c r="N12" s="800">
        <v>83</v>
      </c>
      <c r="O12" s="800">
        <v>109</v>
      </c>
      <c r="P12" s="800">
        <v>91</v>
      </c>
      <c r="Q12" s="208">
        <v>125</v>
      </c>
      <c r="R12" s="208"/>
      <c r="S12" s="800">
        <v>83</v>
      </c>
      <c r="T12" s="800">
        <v>97</v>
      </c>
      <c r="U12" s="800">
        <v>72</v>
      </c>
      <c r="V12" s="23"/>
      <c r="X12" s="139" t="s">
        <v>221</v>
      </c>
    </row>
    <row r="13" spans="2:24" ht="12.75">
      <c r="B13" s="15"/>
      <c r="C13" s="28" t="s">
        <v>338</v>
      </c>
      <c r="D13" s="982">
        <v>6</v>
      </c>
      <c r="E13" s="251">
        <v>-7</v>
      </c>
      <c r="F13" s="251">
        <v>-6</v>
      </c>
      <c r="G13" s="251">
        <v>-29</v>
      </c>
      <c r="H13" s="251"/>
      <c r="I13" s="251">
        <v>-14</v>
      </c>
      <c r="J13" s="251">
        <v>-32</v>
      </c>
      <c r="K13" s="251">
        <v>-25</v>
      </c>
      <c r="L13" s="993">
        <v>-65</v>
      </c>
      <c r="M13" s="251"/>
      <c r="N13" s="251">
        <v>9</v>
      </c>
      <c r="O13" s="251">
        <v>-5</v>
      </c>
      <c r="P13" s="251">
        <v>4</v>
      </c>
      <c r="Q13" s="251">
        <v>-27</v>
      </c>
      <c r="R13" s="251"/>
      <c r="S13" s="251">
        <v>-25</v>
      </c>
      <c r="T13" s="251">
        <v>-64</v>
      </c>
      <c r="U13" s="251">
        <f>16-78</f>
        <v>-62</v>
      </c>
      <c r="V13" s="23"/>
      <c r="X13" s="139" t="s">
        <v>222</v>
      </c>
    </row>
    <row r="14" spans="2:25" ht="12.75">
      <c r="B14" s="15"/>
      <c r="C14" s="7" t="s">
        <v>10</v>
      </c>
      <c r="D14" s="1047">
        <v>7482</v>
      </c>
      <c r="E14" s="802">
        <v>7853</v>
      </c>
      <c r="F14" s="802">
        <v>7769</v>
      </c>
      <c r="G14" s="802">
        <v>8171</v>
      </c>
      <c r="H14" s="802"/>
      <c r="I14" s="802">
        <v>7540</v>
      </c>
      <c r="J14" s="802">
        <v>7930</v>
      </c>
      <c r="K14" s="802">
        <v>7737</v>
      </c>
      <c r="L14" s="1048">
        <v>8083</v>
      </c>
      <c r="M14" s="209"/>
      <c r="N14" s="802">
        <v>7475</v>
      </c>
      <c r="O14" s="802">
        <v>7862</v>
      </c>
      <c r="P14" s="802">
        <v>7667</v>
      </c>
      <c r="Q14" s="209">
        <v>8009</v>
      </c>
      <c r="R14" s="209"/>
      <c r="S14" s="209">
        <v>7298</v>
      </c>
      <c r="T14" s="209">
        <v>7540</v>
      </c>
      <c r="U14" s="209">
        <f>+U6+U9+U10+U11+U12+U13</f>
        <v>7561</v>
      </c>
      <c r="V14" s="23"/>
      <c r="X14" s="139" t="s">
        <v>8</v>
      </c>
      <c r="Y14" s="4"/>
    </row>
    <row r="15" spans="2:24" s="4" customFormat="1" ht="12.75">
      <c r="B15" s="484"/>
      <c r="C15" s="40"/>
      <c r="D15" s="986"/>
      <c r="E15" s="324"/>
      <c r="F15" s="324"/>
      <c r="G15" s="324"/>
      <c r="H15" s="324"/>
      <c r="I15" s="324"/>
      <c r="J15" s="324"/>
      <c r="K15" s="324"/>
      <c r="L15" s="1049"/>
      <c r="M15" s="324"/>
      <c r="N15" s="324"/>
      <c r="O15" s="324"/>
      <c r="P15" s="324"/>
      <c r="Q15" s="326"/>
      <c r="R15" s="326"/>
      <c r="S15" s="324"/>
      <c r="T15" s="324"/>
      <c r="U15" s="324"/>
      <c r="V15" s="192"/>
      <c r="X15" s="139" t="s">
        <v>534</v>
      </c>
    </row>
    <row r="16" spans="2:24" s="4" customFormat="1" ht="12.75">
      <c r="B16" s="484"/>
      <c r="C16" s="309" t="s">
        <v>372</v>
      </c>
      <c r="D16" s="977"/>
      <c r="E16" s="205"/>
      <c r="F16" s="205"/>
      <c r="G16" s="205"/>
      <c r="H16" s="205"/>
      <c r="I16" s="205"/>
      <c r="J16" s="205"/>
      <c r="K16" s="205"/>
      <c r="L16" s="978">
        <v>0</v>
      </c>
      <c r="M16" s="205"/>
      <c r="N16" s="205">
        <v>0</v>
      </c>
      <c r="O16" s="205">
        <v>0</v>
      </c>
      <c r="P16" s="205">
        <v>0</v>
      </c>
      <c r="Q16" s="205">
        <v>32</v>
      </c>
      <c r="R16" s="205">
        <v>0</v>
      </c>
      <c r="S16" s="205">
        <v>0</v>
      </c>
      <c r="T16" s="205">
        <v>24</v>
      </c>
      <c r="U16" s="205">
        <v>0</v>
      </c>
      <c r="V16" s="192"/>
      <c r="X16" s="139" t="s">
        <v>535</v>
      </c>
    </row>
    <row r="17" spans="2:24" s="4" customFormat="1" ht="12.75">
      <c r="B17" s="484"/>
      <c r="C17" s="41"/>
      <c r="D17" s="988"/>
      <c r="E17" s="328"/>
      <c r="F17" s="327"/>
      <c r="G17" s="329"/>
      <c r="H17" s="329"/>
      <c r="I17" s="329"/>
      <c r="J17" s="329"/>
      <c r="K17" s="329"/>
      <c r="L17" s="1050"/>
      <c r="M17" s="329"/>
      <c r="N17" s="329"/>
      <c r="O17" s="329"/>
      <c r="P17" s="329"/>
      <c r="Q17" s="331"/>
      <c r="R17" s="331"/>
      <c r="S17" s="329"/>
      <c r="T17" s="329"/>
      <c r="U17" s="329"/>
      <c r="V17" s="192"/>
      <c r="X17" s="139" t="s">
        <v>545</v>
      </c>
    </row>
    <row r="18" spans="2:24" s="4" customFormat="1" ht="12.75">
      <c r="B18" s="484"/>
      <c r="C18" s="40" t="s">
        <v>335</v>
      </c>
      <c r="D18" s="784"/>
      <c r="E18" s="332"/>
      <c r="F18" s="332"/>
      <c r="G18" s="333"/>
      <c r="H18" s="333"/>
      <c r="I18" s="333"/>
      <c r="J18" s="333"/>
      <c r="K18" s="333"/>
      <c r="L18" s="1051"/>
      <c r="M18" s="333"/>
      <c r="N18" s="333"/>
      <c r="O18" s="333"/>
      <c r="P18" s="333"/>
      <c r="Q18" s="335"/>
      <c r="R18" s="335"/>
      <c r="S18" s="333"/>
      <c r="T18" s="333"/>
      <c r="U18" s="333"/>
      <c r="V18" s="192"/>
      <c r="X18" s="139" t="s">
        <v>109</v>
      </c>
    </row>
    <row r="19" spans="2:24" s="4" customFormat="1" ht="12.75">
      <c r="B19" s="484"/>
      <c r="C19" s="28" t="s">
        <v>7</v>
      </c>
      <c r="D19" s="991">
        <v>6297</v>
      </c>
      <c r="E19" s="254">
        <v>6580</v>
      </c>
      <c r="F19" s="254">
        <v>6346</v>
      </c>
      <c r="G19" s="254">
        <v>6562</v>
      </c>
      <c r="H19" s="254"/>
      <c r="I19" s="254">
        <v>6009</v>
      </c>
      <c r="J19" s="254">
        <v>6173</v>
      </c>
      <c r="K19" s="254">
        <v>5926</v>
      </c>
      <c r="L19" s="998">
        <v>6144</v>
      </c>
      <c r="M19" s="254"/>
      <c r="N19" s="800">
        <v>6009</v>
      </c>
      <c r="O19" s="800">
        <v>6173</v>
      </c>
      <c r="P19" s="800">
        <v>5926</v>
      </c>
      <c r="Q19" s="256">
        <v>6144</v>
      </c>
      <c r="R19" s="256"/>
      <c r="S19" s="800">
        <v>5619</v>
      </c>
      <c r="T19" s="800">
        <v>5825</v>
      </c>
      <c r="U19" s="800">
        <v>5734</v>
      </c>
      <c r="V19" s="192"/>
      <c r="X19" s="139" t="s">
        <v>157</v>
      </c>
    </row>
    <row r="20" spans="2:24" s="4" customFormat="1" ht="12.75">
      <c r="B20" s="484"/>
      <c r="C20" s="870" t="s">
        <v>145</v>
      </c>
      <c r="D20" s="991">
        <v>4286</v>
      </c>
      <c r="E20" s="254">
        <v>4313</v>
      </c>
      <c r="F20" s="254">
        <v>4108</v>
      </c>
      <c r="G20" s="254">
        <v>4281</v>
      </c>
      <c r="H20" s="254"/>
      <c r="I20" s="254">
        <v>3989</v>
      </c>
      <c r="J20" s="254">
        <v>3994</v>
      </c>
      <c r="K20" s="254">
        <v>3765</v>
      </c>
      <c r="L20" s="998">
        <v>3955</v>
      </c>
      <c r="M20" s="254"/>
      <c r="N20" s="800">
        <v>3989</v>
      </c>
      <c r="O20" s="800">
        <v>3994</v>
      </c>
      <c r="P20" s="800">
        <v>3765</v>
      </c>
      <c r="Q20" s="208">
        <v>3955</v>
      </c>
      <c r="R20" s="208"/>
      <c r="S20" s="800">
        <v>3746</v>
      </c>
      <c r="T20" s="800">
        <v>3763</v>
      </c>
      <c r="U20" s="800">
        <v>3643</v>
      </c>
      <c r="V20" s="192"/>
      <c r="X20" s="1469" t="s">
        <v>382</v>
      </c>
    </row>
    <row r="21" spans="2:24" s="4" customFormat="1" ht="12.75">
      <c r="B21" s="484"/>
      <c r="C21" s="870" t="s">
        <v>130</v>
      </c>
      <c r="D21" s="991">
        <v>2370</v>
      </c>
      <c r="E21" s="254">
        <v>2612</v>
      </c>
      <c r="F21" s="254">
        <v>2583</v>
      </c>
      <c r="G21" s="254">
        <v>2645</v>
      </c>
      <c r="H21" s="254"/>
      <c r="I21" s="254">
        <v>2365</v>
      </c>
      <c r="J21" s="254">
        <v>2551</v>
      </c>
      <c r="K21" s="254">
        <v>2513</v>
      </c>
      <c r="L21" s="998">
        <v>2549</v>
      </c>
      <c r="M21" s="254"/>
      <c r="N21" s="800">
        <v>2365</v>
      </c>
      <c r="O21" s="800">
        <v>2551</v>
      </c>
      <c r="P21" s="800">
        <v>2513</v>
      </c>
      <c r="Q21" s="208">
        <v>2549</v>
      </c>
      <c r="R21" s="208"/>
      <c r="S21" s="800">
        <v>2236</v>
      </c>
      <c r="T21" s="800">
        <v>2433</v>
      </c>
      <c r="U21" s="800">
        <v>2451</v>
      </c>
      <c r="V21" s="192"/>
      <c r="X21" s="162" t="s">
        <v>312</v>
      </c>
    </row>
    <row r="22" spans="2:24" s="4" customFormat="1" ht="12.75">
      <c r="B22" s="484"/>
      <c r="C22" s="28" t="s">
        <v>8</v>
      </c>
      <c r="D22" s="991">
        <v>204</v>
      </c>
      <c r="E22" s="254">
        <v>223</v>
      </c>
      <c r="F22" s="254">
        <v>235</v>
      </c>
      <c r="G22" s="254">
        <v>253</v>
      </c>
      <c r="H22" s="254"/>
      <c r="I22" s="254">
        <v>304</v>
      </c>
      <c r="J22" s="254">
        <v>391</v>
      </c>
      <c r="K22" s="254">
        <v>411</v>
      </c>
      <c r="L22" s="998">
        <v>439</v>
      </c>
      <c r="M22" s="254"/>
      <c r="N22" s="800">
        <v>216</v>
      </c>
      <c r="O22" s="800">
        <v>296</v>
      </c>
      <c r="P22" s="800">
        <v>312</v>
      </c>
      <c r="Q22" s="256">
        <v>327</v>
      </c>
      <c r="R22" s="256"/>
      <c r="S22" s="800">
        <v>323</v>
      </c>
      <c r="T22" s="800">
        <v>319</v>
      </c>
      <c r="U22" s="800">
        <v>319</v>
      </c>
      <c r="V22" s="192"/>
      <c r="X22" s="3"/>
    </row>
    <row r="23" spans="2:24" s="4" customFormat="1" ht="12.75">
      <c r="B23" s="484"/>
      <c r="C23" s="28" t="s">
        <v>31</v>
      </c>
      <c r="D23" s="991">
        <v>837</v>
      </c>
      <c r="E23" s="254">
        <v>885</v>
      </c>
      <c r="F23" s="254">
        <v>1070</v>
      </c>
      <c r="G23" s="254">
        <v>1172</v>
      </c>
      <c r="H23" s="254"/>
      <c r="I23" s="254">
        <v>1100</v>
      </c>
      <c r="J23" s="254">
        <v>1222</v>
      </c>
      <c r="K23" s="254">
        <v>1281</v>
      </c>
      <c r="L23" s="998">
        <v>1387</v>
      </c>
      <c r="M23" s="254"/>
      <c r="N23" s="800">
        <v>1100</v>
      </c>
      <c r="O23" s="800">
        <v>1222</v>
      </c>
      <c r="P23" s="800">
        <v>1281</v>
      </c>
      <c r="Q23" s="256">
        <v>1387</v>
      </c>
      <c r="R23" s="256"/>
      <c r="S23" s="800">
        <v>1224</v>
      </c>
      <c r="T23" s="800">
        <v>1313</v>
      </c>
      <c r="U23" s="800">
        <v>1436</v>
      </c>
      <c r="V23" s="192"/>
      <c r="X23" s="3"/>
    </row>
    <row r="24" spans="2:24" s="4" customFormat="1" ht="12.75">
      <c r="B24" s="484"/>
      <c r="C24" s="28" t="s">
        <v>89</v>
      </c>
      <c r="D24" s="991">
        <v>44</v>
      </c>
      <c r="E24" s="254">
        <v>54</v>
      </c>
      <c r="F24" s="254">
        <v>38</v>
      </c>
      <c r="G24" s="254">
        <v>71</v>
      </c>
      <c r="H24" s="254"/>
      <c r="I24" s="254">
        <v>58</v>
      </c>
      <c r="J24" s="254">
        <v>67</v>
      </c>
      <c r="K24" s="254">
        <v>53</v>
      </c>
      <c r="L24" s="998">
        <v>85</v>
      </c>
      <c r="M24" s="254"/>
      <c r="N24" s="800">
        <v>58</v>
      </c>
      <c r="O24" s="800">
        <v>67</v>
      </c>
      <c r="P24" s="800">
        <v>53</v>
      </c>
      <c r="Q24" s="256">
        <v>85</v>
      </c>
      <c r="R24" s="256"/>
      <c r="S24" s="800">
        <v>74</v>
      </c>
      <c r="T24" s="800">
        <v>74</v>
      </c>
      <c r="U24" s="800">
        <v>62</v>
      </c>
      <c r="V24" s="192"/>
      <c r="X24" s="3"/>
    </row>
    <row r="25" spans="2:25" s="4" customFormat="1" ht="12.75">
      <c r="B25" s="484"/>
      <c r="C25" s="28" t="s">
        <v>9</v>
      </c>
      <c r="D25" s="991">
        <v>94</v>
      </c>
      <c r="E25" s="254">
        <v>118</v>
      </c>
      <c r="F25" s="254">
        <v>86</v>
      </c>
      <c r="G25" s="254">
        <v>142</v>
      </c>
      <c r="H25" s="254"/>
      <c r="I25" s="254">
        <v>83</v>
      </c>
      <c r="J25" s="254">
        <v>109</v>
      </c>
      <c r="K25" s="254">
        <v>91</v>
      </c>
      <c r="L25" s="998">
        <v>125</v>
      </c>
      <c r="M25" s="254"/>
      <c r="N25" s="800">
        <v>83</v>
      </c>
      <c r="O25" s="800">
        <v>109</v>
      </c>
      <c r="P25" s="800">
        <v>91</v>
      </c>
      <c r="Q25" s="256">
        <v>125</v>
      </c>
      <c r="R25" s="256"/>
      <c r="S25" s="800">
        <v>83</v>
      </c>
      <c r="T25" s="800">
        <v>97</v>
      </c>
      <c r="U25" s="800">
        <v>72</v>
      </c>
      <c r="V25" s="192"/>
      <c r="X25" s="3"/>
      <c r="Y25" s="3"/>
    </row>
    <row r="26" spans="2:25" s="4" customFormat="1" ht="12.75">
      <c r="B26" s="484"/>
      <c r="C26" s="28" t="s">
        <v>338</v>
      </c>
      <c r="D26" s="982">
        <v>6</v>
      </c>
      <c r="E26" s="251">
        <v>-7</v>
      </c>
      <c r="F26" s="251">
        <v>-6</v>
      </c>
      <c r="G26" s="251">
        <v>-29</v>
      </c>
      <c r="H26" s="251"/>
      <c r="I26" s="251">
        <v>-14</v>
      </c>
      <c r="J26" s="251">
        <v>-32</v>
      </c>
      <c r="K26" s="251">
        <v>-25</v>
      </c>
      <c r="L26" s="993">
        <v>-65</v>
      </c>
      <c r="M26" s="251"/>
      <c r="N26" s="251">
        <v>9</v>
      </c>
      <c r="O26" s="251">
        <v>-5</v>
      </c>
      <c r="P26" s="251">
        <v>4</v>
      </c>
      <c r="Q26" s="251">
        <v>-27</v>
      </c>
      <c r="R26" s="251"/>
      <c r="S26" s="251">
        <v>-25</v>
      </c>
      <c r="T26" s="251">
        <v>-64</v>
      </c>
      <c r="U26" s="251">
        <v>-62</v>
      </c>
      <c r="V26" s="192"/>
      <c r="X26" s="3"/>
      <c r="Y26" s="3"/>
    </row>
    <row r="27" spans="2:25" s="4" customFormat="1" ht="12.75">
      <c r="B27" s="484"/>
      <c r="C27" s="7" t="s">
        <v>10</v>
      </c>
      <c r="D27" s="994">
        <v>7482</v>
      </c>
      <c r="E27" s="253">
        <v>7853</v>
      </c>
      <c r="F27" s="253">
        <v>7769</v>
      </c>
      <c r="G27" s="253">
        <v>8171</v>
      </c>
      <c r="H27" s="253"/>
      <c r="I27" s="253">
        <v>7540</v>
      </c>
      <c r="J27" s="253">
        <v>7930</v>
      </c>
      <c r="K27" s="253">
        <v>7737</v>
      </c>
      <c r="L27" s="1052">
        <v>8115</v>
      </c>
      <c r="M27" s="253"/>
      <c r="N27" s="802">
        <v>7475</v>
      </c>
      <c r="O27" s="802">
        <v>7862</v>
      </c>
      <c r="P27" s="802">
        <v>7667</v>
      </c>
      <c r="Q27" s="212">
        <v>8041</v>
      </c>
      <c r="R27" s="212"/>
      <c r="S27" s="209">
        <v>7298</v>
      </c>
      <c r="T27" s="209">
        <v>7564</v>
      </c>
      <c r="U27" s="209">
        <v>7561</v>
      </c>
      <c r="V27" s="192"/>
      <c r="X27" s="3"/>
      <c r="Y27" s="3"/>
    </row>
    <row r="28" spans="2:25" s="4" customFormat="1" ht="12.75">
      <c r="B28" s="484"/>
      <c r="C28" s="7"/>
      <c r="D28" s="1047"/>
      <c r="E28" s="802"/>
      <c r="F28" s="802"/>
      <c r="G28" s="802"/>
      <c r="H28" s="802"/>
      <c r="I28" s="802">
        <v>0</v>
      </c>
      <c r="J28" s="802"/>
      <c r="K28" s="802"/>
      <c r="L28" s="1048"/>
      <c r="M28" s="209"/>
      <c r="N28" s="802"/>
      <c r="O28" s="802"/>
      <c r="P28" s="802"/>
      <c r="Q28" s="212"/>
      <c r="R28" s="212"/>
      <c r="S28" s="209"/>
      <c r="T28" s="209"/>
      <c r="U28" s="209"/>
      <c r="V28" s="192"/>
      <c r="X28" s="3"/>
      <c r="Y28" s="3"/>
    </row>
    <row r="29" spans="2:22" ht="12.75">
      <c r="B29" s="15"/>
      <c r="C29" s="35" t="s">
        <v>91</v>
      </c>
      <c r="D29" s="1020"/>
      <c r="E29" s="321"/>
      <c r="F29" s="321"/>
      <c r="G29" s="321"/>
      <c r="H29" s="321"/>
      <c r="I29" s="321"/>
      <c r="J29" s="321"/>
      <c r="K29" s="351"/>
      <c r="L29" s="1053"/>
      <c r="M29" s="351"/>
      <c r="N29" s="321"/>
      <c r="O29" s="321"/>
      <c r="P29" s="351"/>
      <c r="Q29" s="321"/>
      <c r="R29" s="321"/>
      <c r="S29" s="351"/>
      <c r="T29" s="351"/>
      <c r="U29" s="351"/>
      <c r="V29" s="23"/>
    </row>
    <row r="30" spans="2:22" ht="12.75">
      <c r="B30" s="15"/>
      <c r="C30" s="29" t="s">
        <v>7</v>
      </c>
      <c r="D30" s="1054">
        <v>3148</v>
      </c>
      <c r="E30" s="803">
        <v>3062</v>
      </c>
      <c r="F30" s="803">
        <v>3010</v>
      </c>
      <c r="G30" s="803">
        <v>2673</v>
      </c>
      <c r="H30" s="803"/>
      <c r="I30" s="804">
        <v>2853</v>
      </c>
      <c r="J30" s="804">
        <v>2766</v>
      </c>
      <c r="K30" s="804">
        <v>2821</v>
      </c>
      <c r="L30" s="1055">
        <v>1734</v>
      </c>
      <c r="M30" s="803"/>
      <c r="N30" s="803">
        <v>2853</v>
      </c>
      <c r="O30" s="803">
        <v>2766</v>
      </c>
      <c r="P30" s="803">
        <v>2821</v>
      </c>
      <c r="Q30" s="256">
        <v>1734</v>
      </c>
      <c r="R30" s="256"/>
      <c r="S30" s="803">
        <v>2667</v>
      </c>
      <c r="T30" s="803">
        <v>2264</v>
      </c>
      <c r="U30" s="803">
        <v>2682</v>
      </c>
      <c r="V30" s="23"/>
    </row>
    <row r="31" spans="2:22" ht="12.75">
      <c r="B31" s="15"/>
      <c r="C31" s="29" t="s">
        <v>8</v>
      </c>
      <c r="D31" s="1054">
        <v>2</v>
      </c>
      <c r="E31" s="803">
        <v>12</v>
      </c>
      <c r="F31" s="803">
        <v>26</v>
      </c>
      <c r="G31" s="803">
        <v>41</v>
      </c>
      <c r="H31" s="803"/>
      <c r="I31" s="804">
        <v>30</v>
      </c>
      <c r="J31" s="804">
        <v>58</v>
      </c>
      <c r="K31" s="804">
        <v>73</v>
      </c>
      <c r="L31" s="1055">
        <v>85</v>
      </c>
      <c r="M31" s="803"/>
      <c r="N31" s="803">
        <v>54</v>
      </c>
      <c r="O31" s="803">
        <v>74</v>
      </c>
      <c r="P31" s="803">
        <v>84</v>
      </c>
      <c r="Q31" s="256">
        <v>85</v>
      </c>
      <c r="R31" s="256"/>
      <c r="S31" s="803">
        <v>61</v>
      </c>
      <c r="T31" s="803">
        <v>58</v>
      </c>
      <c r="U31" s="803">
        <v>73</v>
      </c>
      <c r="V31" s="23"/>
    </row>
    <row r="32" spans="2:22" ht="12.75">
      <c r="B32" s="15"/>
      <c r="C32" s="29" t="s">
        <v>31</v>
      </c>
      <c r="D32" s="1054">
        <v>181</v>
      </c>
      <c r="E32" s="803">
        <v>173</v>
      </c>
      <c r="F32" s="803">
        <v>250</v>
      </c>
      <c r="G32" s="803">
        <v>346</v>
      </c>
      <c r="H32" s="803"/>
      <c r="I32" s="804">
        <v>269</v>
      </c>
      <c r="J32" s="804">
        <v>316</v>
      </c>
      <c r="K32" s="804">
        <v>239</v>
      </c>
      <c r="L32" s="1055">
        <v>383</v>
      </c>
      <c r="M32" s="803"/>
      <c r="N32" s="803">
        <v>269</v>
      </c>
      <c r="O32" s="803">
        <v>316</v>
      </c>
      <c r="P32" s="803">
        <v>239</v>
      </c>
      <c r="Q32" s="256">
        <v>383</v>
      </c>
      <c r="R32" s="256"/>
      <c r="S32" s="803">
        <v>242</v>
      </c>
      <c r="T32" s="803">
        <v>279</v>
      </c>
      <c r="U32" s="803">
        <v>354</v>
      </c>
      <c r="V32" s="23"/>
    </row>
    <row r="33" spans="2:22" ht="12.75">
      <c r="B33" s="15"/>
      <c r="C33" s="29" t="s">
        <v>89</v>
      </c>
      <c r="D33" s="1054">
        <v>-28</v>
      </c>
      <c r="E33" s="803">
        <v>-24</v>
      </c>
      <c r="F33" s="803">
        <v>-19</v>
      </c>
      <c r="G33" s="803">
        <v>-12</v>
      </c>
      <c r="H33" s="803"/>
      <c r="I33" s="804">
        <v>-11</v>
      </c>
      <c r="J33" s="804">
        <v>-10</v>
      </c>
      <c r="K33" s="804">
        <v>-17</v>
      </c>
      <c r="L33" s="1055">
        <v>-17</v>
      </c>
      <c r="M33" s="803"/>
      <c r="N33" s="803">
        <v>-11</v>
      </c>
      <c r="O33" s="803">
        <v>-10</v>
      </c>
      <c r="P33" s="803">
        <v>-17</v>
      </c>
      <c r="Q33" s="256">
        <v>-17</v>
      </c>
      <c r="R33" s="256"/>
      <c r="S33" s="803">
        <v>-21</v>
      </c>
      <c r="T33" s="803">
        <v>-14</v>
      </c>
      <c r="U33" s="803">
        <v>-10</v>
      </c>
      <c r="V33" s="23"/>
    </row>
    <row r="34" spans="2:22" ht="12.75">
      <c r="B34" s="15"/>
      <c r="C34" s="29" t="s">
        <v>9</v>
      </c>
      <c r="D34" s="1054">
        <v>-12</v>
      </c>
      <c r="E34" s="803">
        <v>-14</v>
      </c>
      <c r="F34" s="803">
        <v>-10</v>
      </c>
      <c r="G34" s="803">
        <v>3</v>
      </c>
      <c r="H34" s="803"/>
      <c r="I34" s="804">
        <v>-10</v>
      </c>
      <c r="J34" s="804">
        <v>-7</v>
      </c>
      <c r="K34" s="804">
        <v>-4</v>
      </c>
      <c r="L34" s="1055">
        <v>-23</v>
      </c>
      <c r="M34" s="803"/>
      <c r="N34" s="803">
        <v>-10</v>
      </c>
      <c r="O34" s="803">
        <v>-7</v>
      </c>
      <c r="P34" s="803">
        <v>-4</v>
      </c>
      <c r="Q34" s="256">
        <v>-23</v>
      </c>
      <c r="R34" s="256"/>
      <c r="S34" s="803">
        <v>-7</v>
      </c>
      <c r="T34" s="803">
        <v>-5</v>
      </c>
      <c r="U34" s="803">
        <v>-11</v>
      </c>
      <c r="V34" s="23"/>
    </row>
    <row r="35" spans="2:22" ht="12.75">
      <c r="B35" s="15"/>
      <c r="C35" s="28" t="s">
        <v>338</v>
      </c>
      <c r="D35" s="991">
        <v>4</v>
      </c>
      <c r="E35" s="254">
        <v>14</v>
      </c>
      <c r="F35" s="254">
        <v>11</v>
      </c>
      <c r="G35" s="254">
        <v>13</v>
      </c>
      <c r="H35" s="254"/>
      <c r="I35" s="254">
        <v>23</v>
      </c>
      <c r="J35" s="254">
        <v>17</v>
      </c>
      <c r="K35" s="254">
        <v>27</v>
      </c>
      <c r="L35" s="998">
        <v>22</v>
      </c>
      <c r="M35" s="254"/>
      <c r="N35" s="254">
        <v>23</v>
      </c>
      <c r="O35" s="254">
        <v>18</v>
      </c>
      <c r="P35" s="254">
        <v>26</v>
      </c>
      <c r="Q35" s="254">
        <v>22</v>
      </c>
      <c r="R35" s="254"/>
      <c r="S35" s="254">
        <v>24</v>
      </c>
      <c r="T35" s="254">
        <v>-13</v>
      </c>
      <c r="U35" s="254">
        <v>-1</v>
      </c>
      <c r="V35" s="23"/>
    </row>
    <row r="36" spans="2:22" ht="12.75">
      <c r="B36" s="15"/>
      <c r="C36" s="7" t="s">
        <v>10</v>
      </c>
      <c r="D36" s="1056">
        <v>3295</v>
      </c>
      <c r="E36" s="805">
        <v>3223</v>
      </c>
      <c r="F36" s="805">
        <v>3268</v>
      </c>
      <c r="G36" s="805">
        <v>3064</v>
      </c>
      <c r="H36" s="805"/>
      <c r="I36" s="805">
        <v>3154</v>
      </c>
      <c r="J36" s="805">
        <v>3140</v>
      </c>
      <c r="K36" s="805">
        <v>3139</v>
      </c>
      <c r="L36" s="1057">
        <v>2184</v>
      </c>
      <c r="M36" s="805"/>
      <c r="N36" s="805">
        <v>3178</v>
      </c>
      <c r="O36" s="805">
        <v>3157</v>
      </c>
      <c r="P36" s="805">
        <v>3149</v>
      </c>
      <c r="Q36" s="212">
        <v>2184</v>
      </c>
      <c r="R36" s="212"/>
      <c r="S36" s="805">
        <v>2966</v>
      </c>
      <c r="T36" s="805">
        <v>2569</v>
      </c>
      <c r="U36" s="805">
        <f>+U30+U31+U32+U33+U34+U35</f>
        <v>3087</v>
      </c>
      <c r="V36" s="23"/>
    </row>
    <row r="37" spans="2:22" ht="6" customHeight="1">
      <c r="B37" s="15"/>
      <c r="C37" s="38"/>
      <c r="D37" s="1058"/>
      <c r="E37" s="349"/>
      <c r="F37" s="349"/>
      <c r="G37" s="349"/>
      <c r="H37" s="349"/>
      <c r="I37" s="350"/>
      <c r="J37" s="350"/>
      <c r="K37" s="1059"/>
      <c r="L37" s="1060"/>
      <c r="M37" s="935"/>
      <c r="N37" s="1377"/>
      <c r="O37" s="1377"/>
      <c r="P37" s="935"/>
      <c r="Q37" s="931"/>
      <c r="R37" s="931"/>
      <c r="S37" s="935"/>
      <c r="T37" s="935"/>
      <c r="U37" s="935"/>
      <c r="V37" s="23"/>
    </row>
    <row r="38" spans="2:22" ht="12.75">
      <c r="B38" s="15"/>
      <c r="C38" s="39" t="s">
        <v>67</v>
      </c>
      <c r="D38" s="1000"/>
      <c r="E38" s="322"/>
      <c r="F38" s="322"/>
      <c r="G38" s="322"/>
      <c r="H38" s="322"/>
      <c r="I38" s="322"/>
      <c r="J38" s="322"/>
      <c r="K38" s="352"/>
      <c r="L38" s="1061"/>
      <c r="M38" s="352"/>
      <c r="N38" s="322"/>
      <c r="O38" s="322"/>
      <c r="P38" s="352"/>
      <c r="Q38" s="322"/>
      <c r="R38" s="322"/>
      <c r="S38" s="352"/>
      <c r="T38" s="352"/>
      <c r="U38" s="352"/>
      <c r="V38" s="23"/>
    </row>
    <row r="39" spans="2:22" ht="12.75">
      <c r="B39" s="15"/>
      <c r="C39" s="29" t="s">
        <v>7</v>
      </c>
      <c r="D39" s="1062">
        <v>0.4999205971097348</v>
      </c>
      <c r="E39" s="797">
        <v>0.4653495440729483</v>
      </c>
      <c r="F39" s="797">
        <v>0.4743145288370627</v>
      </c>
      <c r="G39" s="797">
        <v>0.40734532154830844</v>
      </c>
      <c r="H39" s="797"/>
      <c r="I39" s="213">
        <v>0.4747878182725911</v>
      </c>
      <c r="J39" s="213">
        <v>0.44808034991090234</v>
      </c>
      <c r="K39" s="213">
        <v>0.4760377995275059</v>
      </c>
      <c r="L39" s="1003">
        <v>0.2837041884816754</v>
      </c>
      <c r="M39" s="797"/>
      <c r="N39" s="213">
        <v>0.4747878182725911</v>
      </c>
      <c r="O39" s="213">
        <v>0.44808034991090234</v>
      </c>
      <c r="P39" s="213">
        <v>0.4760377995275059</v>
      </c>
      <c r="Q39" s="213">
        <v>0.2837041884816754</v>
      </c>
      <c r="R39" s="213"/>
      <c r="S39" s="213">
        <v>0.47463961558996265</v>
      </c>
      <c r="T39" s="213">
        <v>0.390277538355456</v>
      </c>
      <c r="U39" s="213">
        <f>+U30/$U$6</f>
        <v>0.4677363097314266</v>
      </c>
      <c r="V39" s="23"/>
    </row>
    <row r="40" spans="2:22" ht="12.75">
      <c r="B40" s="15"/>
      <c r="C40" s="29" t="s">
        <v>8</v>
      </c>
      <c r="D40" s="1062">
        <v>0.00980392156862745</v>
      </c>
      <c r="E40" s="797">
        <v>0.053811659192825115</v>
      </c>
      <c r="F40" s="797">
        <v>0.11063829787234042</v>
      </c>
      <c r="G40" s="797">
        <v>0.16205533596837945</v>
      </c>
      <c r="H40" s="797"/>
      <c r="I40" s="797">
        <v>0.09868421052631579</v>
      </c>
      <c r="J40" s="797">
        <v>0.1483375959079284</v>
      </c>
      <c r="K40" s="797">
        <v>0.17761557177615572</v>
      </c>
      <c r="L40" s="1063">
        <v>0.19362186788154898</v>
      </c>
      <c r="M40" s="797"/>
      <c r="N40" s="213">
        <v>0.25</v>
      </c>
      <c r="O40" s="213">
        <v>0.25</v>
      </c>
      <c r="P40" s="213">
        <v>0.2692307692307692</v>
      </c>
      <c r="Q40" s="213">
        <v>0.2599388379204893</v>
      </c>
      <c r="R40" s="213"/>
      <c r="S40" s="213">
        <v>0.18885448916408668</v>
      </c>
      <c r="T40" s="213">
        <v>0.18181818181818182</v>
      </c>
      <c r="U40" s="213">
        <f>+U31/$U$9</f>
        <v>0.22884012539184953</v>
      </c>
      <c r="V40" s="23"/>
    </row>
    <row r="41" spans="2:22" ht="12.75">
      <c r="B41" s="15"/>
      <c r="C41" s="29" t="s">
        <v>31</v>
      </c>
      <c r="D41" s="1062">
        <v>0.2162485065710872</v>
      </c>
      <c r="E41" s="797">
        <v>0.19548022598870057</v>
      </c>
      <c r="F41" s="797">
        <v>0.2336448598130841</v>
      </c>
      <c r="G41" s="797">
        <v>0.295221843003413</v>
      </c>
      <c r="H41" s="797"/>
      <c r="I41" s="797">
        <v>0.24454545454545454</v>
      </c>
      <c r="J41" s="797">
        <v>0.25859247135842883</v>
      </c>
      <c r="K41" s="797">
        <v>0.1865729898516784</v>
      </c>
      <c r="L41" s="1063">
        <v>0.2761355443403028</v>
      </c>
      <c r="M41" s="797"/>
      <c r="N41" s="213">
        <v>0.24454545454545454</v>
      </c>
      <c r="O41" s="213">
        <v>0.25859247135842883</v>
      </c>
      <c r="P41" s="213">
        <v>0.1865729898516784</v>
      </c>
      <c r="Q41" s="213">
        <v>0.2761355443403028</v>
      </c>
      <c r="R41" s="213"/>
      <c r="S41" s="213">
        <v>0.1977124183006536</v>
      </c>
      <c r="T41" s="213">
        <v>0.2124904798172125</v>
      </c>
      <c r="U41" s="213">
        <f>+U32/$U$10</f>
        <v>0.24651810584958217</v>
      </c>
      <c r="V41" s="23"/>
    </row>
    <row r="42" spans="2:22" ht="12.75">
      <c r="B42" s="15"/>
      <c r="C42" s="29" t="s">
        <v>89</v>
      </c>
      <c r="D42" s="1062">
        <v>-0.6363636363636364</v>
      </c>
      <c r="E42" s="797">
        <v>-0.4444444444444444</v>
      </c>
      <c r="F42" s="797">
        <v>-0.5</v>
      </c>
      <c r="G42" s="797">
        <v>-0.16901408450704225</v>
      </c>
      <c r="H42" s="797"/>
      <c r="I42" s="797">
        <v>-0.1896551724137931</v>
      </c>
      <c r="J42" s="797">
        <v>-0.14925373134328357</v>
      </c>
      <c r="K42" s="797">
        <v>-0.32075471698113206</v>
      </c>
      <c r="L42" s="1063">
        <v>-0.2</v>
      </c>
      <c r="M42" s="797"/>
      <c r="N42" s="213">
        <v>-0.1896551724137931</v>
      </c>
      <c r="O42" s="213">
        <v>-0.14925373134328357</v>
      </c>
      <c r="P42" s="213">
        <v>-0.32075471698113206</v>
      </c>
      <c r="Q42" s="213">
        <v>-0.2</v>
      </c>
      <c r="R42" s="213"/>
      <c r="S42" s="213">
        <v>-0.28378378378378377</v>
      </c>
      <c r="T42" s="213">
        <v>-0.1891891891891892</v>
      </c>
      <c r="U42" s="213">
        <f>+U33/$U$11</f>
        <v>-0.16129032258064516</v>
      </c>
      <c r="V42" s="23"/>
    </row>
    <row r="43" spans="2:22" ht="12.75">
      <c r="B43" s="15"/>
      <c r="C43" s="29" t="s">
        <v>9</v>
      </c>
      <c r="D43" s="1062">
        <v>-0.1276595744680851</v>
      </c>
      <c r="E43" s="797">
        <v>-0.11864406779661017</v>
      </c>
      <c r="F43" s="797">
        <v>-0.11627906976744186</v>
      </c>
      <c r="G43" s="797">
        <v>0.02112676056338028</v>
      </c>
      <c r="H43" s="797"/>
      <c r="I43" s="797">
        <v>-0.12048192771084337</v>
      </c>
      <c r="J43" s="797">
        <v>-0.06422018348623854</v>
      </c>
      <c r="K43" s="797">
        <v>-0.04395604395604396</v>
      </c>
      <c r="L43" s="1063">
        <v>-0.184</v>
      </c>
      <c r="M43" s="797"/>
      <c r="N43" s="213">
        <v>-0.12048192771084337</v>
      </c>
      <c r="O43" s="213">
        <v>-0.06422018348623854</v>
      </c>
      <c r="P43" s="213">
        <v>-0.04395604395604396</v>
      </c>
      <c r="Q43" s="213">
        <v>-0.184</v>
      </c>
      <c r="R43" s="213"/>
      <c r="S43" s="213">
        <v>-0.08433734939759036</v>
      </c>
      <c r="T43" s="213">
        <v>-0.05154639175257732</v>
      </c>
      <c r="U43" s="213">
        <f>+U34/$U$12</f>
        <v>-0.1527777777777778</v>
      </c>
      <c r="V43" s="23"/>
    </row>
    <row r="44" spans="2:22" ht="12.75">
      <c r="B44" s="15"/>
      <c r="C44" s="7" t="s">
        <v>10</v>
      </c>
      <c r="D44" s="1064">
        <v>0.44039026998128844</v>
      </c>
      <c r="E44" s="798">
        <v>0.4104164013752706</v>
      </c>
      <c r="F44" s="798">
        <v>0.42064615780666753</v>
      </c>
      <c r="G44" s="798">
        <v>0.3749847019948599</v>
      </c>
      <c r="H44" s="798"/>
      <c r="I44" s="798">
        <v>0.41830238726790453</v>
      </c>
      <c r="J44" s="798">
        <v>0.39596469104665827</v>
      </c>
      <c r="K44" s="798">
        <v>0.40571280858213776</v>
      </c>
      <c r="L44" s="1065">
        <v>0.27019670914264504</v>
      </c>
      <c r="M44" s="799"/>
      <c r="N44" s="223">
        <v>0.4251505016722408</v>
      </c>
      <c r="O44" s="223">
        <v>0.4015517679979649</v>
      </c>
      <c r="P44" s="223">
        <v>0.41072127298813094</v>
      </c>
      <c r="Q44" s="215">
        <v>0.27269322012735675</v>
      </c>
      <c r="R44" s="223"/>
      <c r="S44" s="223">
        <v>0.4064127158125514</v>
      </c>
      <c r="T44" s="223">
        <v>0.34071618037135276</v>
      </c>
      <c r="U44" s="223">
        <f>+U36/$U$14</f>
        <v>0.4082793281311996</v>
      </c>
      <c r="V44" s="23"/>
    </row>
    <row r="45" spans="2:22" ht="12.75">
      <c r="B45" s="15"/>
      <c r="C45" s="1406"/>
      <c r="D45" s="1066"/>
      <c r="E45" s="326"/>
      <c r="F45" s="326"/>
      <c r="G45" s="326"/>
      <c r="H45" s="326"/>
      <c r="I45" s="326"/>
      <c r="J45" s="326"/>
      <c r="K45" s="353"/>
      <c r="L45" s="1067"/>
      <c r="M45" s="353"/>
      <c r="N45" s="326"/>
      <c r="O45" s="326"/>
      <c r="P45" s="353"/>
      <c r="Q45" s="326"/>
      <c r="R45" s="326"/>
      <c r="S45" s="353"/>
      <c r="T45" s="353"/>
      <c r="U45" s="353"/>
      <c r="V45" s="23"/>
    </row>
    <row r="46" spans="2:22" ht="12.75">
      <c r="B46" s="15"/>
      <c r="C46" s="309" t="s">
        <v>372</v>
      </c>
      <c r="D46" s="977">
        <v>41</v>
      </c>
      <c r="E46" s="205">
        <v>59</v>
      </c>
      <c r="F46" s="205">
        <v>19</v>
      </c>
      <c r="G46" s="205">
        <v>113</v>
      </c>
      <c r="H46" s="205"/>
      <c r="I46" s="205">
        <v>37</v>
      </c>
      <c r="J46" s="205">
        <v>101</v>
      </c>
      <c r="K46" s="205">
        <v>18</v>
      </c>
      <c r="L46" s="978">
        <v>640</v>
      </c>
      <c r="M46" s="205"/>
      <c r="N46" s="205">
        <v>0</v>
      </c>
      <c r="O46" s="205">
        <v>53</v>
      </c>
      <c r="P46" s="205">
        <v>0</v>
      </c>
      <c r="Q46" s="205">
        <v>566</v>
      </c>
      <c r="R46" s="205"/>
      <c r="S46" s="205">
        <v>12</v>
      </c>
      <c r="T46" s="205">
        <v>313</v>
      </c>
      <c r="U46" s="205">
        <f>+U55-U36</f>
        <v>10</v>
      </c>
      <c r="V46" s="23"/>
    </row>
    <row r="47" spans="2:22" ht="12.75">
      <c r="B47" s="15"/>
      <c r="C47" s="41"/>
      <c r="D47" s="1068"/>
      <c r="E47" s="355"/>
      <c r="F47" s="354"/>
      <c r="G47" s="354"/>
      <c r="H47" s="354"/>
      <c r="I47" s="331"/>
      <c r="J47" s="331"/>
      <c r="K47" s="356"/>
      <c r="L47" s="1069"/>
      <c r="M47" s="356"/>
      <c r="N47" s="331"/>
      <c r="O47" s="331"/>
      <c r="P47" s="356"/>
      <c r="Q47" s="331"/>
      <c r="R47" s="331"/>
      <c r="S47" s="356"/>
      <c r="T47" s="356"/>
      <c r="U47" s="356"/>
      <c r="V47" s="23"/>
    </row>
    <row r="48" spans="2:22" ht="12.75">
      <c r="B48" s="15"/>
      <c r="C48" s="40" t="s">
        <v>316</v>
      </c>
      <c r="D48" s="1070"/>
      <c r="E48" s="358"/>
      <c r="F48" s="357"/>
      <c r="G48" s="357"/>
      <c r="H48" s="357"/>
      <c r="I48" s="335"/>
      <c r="J48" s="335"/>
      <c r="K48" s="359"/>
      <c r="L48" s="1071"/>
      <c r="M48" s="359"/>
      <c r="N48" s="335"/>
      <c r="O48" s="335"/>
      <c r="P48" s="359"/>
      <c r="Q48" s="335"/>
      <c r="R48" s="335"/>
      <c r="S48" s="359"/>
      <c r="T48" s="359"/>
      <c r="U48" s="359"/>
      <c r="V48" s="23"/>
    </row>
    <row r="49" spans="2:22" ht="12.75">
      <c r="B49" s="15"/>
      <c r="C49" s="29" t="s">
        <v>7</v>
      </c>
      <c r="D49" s="1054">
        <v>3178</v>
      </c>
      <c r="E49" s="803">
        <v>3111</v>
      </c>
      <c r="F49" s="803">
        <v>3026</v>
      </c>
      <c r="G49" s="803">
        <v>2773</v>
      </c>
      <c r="H49" s="803"/>
      <c r="I49" s="804">
        <v>2889</v>
      </c>
      <c r="J49" s="804">
        <v>2864</v>
      </c>
      <c r="K49" s="804">
        <v>2837</v>
      </c>
      <c r="L49" s="1055">
        <v>2349</v>
      </c>
      <c r="M49" s="803"/>
      <c r="N49" s="803">
        <v>2853</v>
      </c>
      <c r="O49" s="803">
        <v>2819</v>
      </c>
      <c r="P49" s="803">
        <v>2821</v>
      </c>
      <c r="Q49" s="256">
        <v>2282</v>
      </c>
      <c r="R49" s="256"/>
      <c r="S49" s="803">
        <v>2679</v>
      </c>
      <c r="T49" s="803">
        <v>2577</v>
      </c>
      <c r="U49" s="803">
        <v>2692</v>
      </c>
      <c r="V49" s="23"/>
    </row>
    <row r="50" spans="2:22" ht="12.75">
      <c r="B50" s="15"/>
      <c r="C50" s="29" t="s">
        <v>8</v>
      </c>
      <c r="D50" s="1054">
        <v>2</v>
      </c>
      <c r="E50" s="803">
        <v>12</v>
      </c>
      <c r="F50" s="803">
        <v>26</v>
      </c>
      <c r="G50" s="803">
        <v>41</v>
      </c>
      <c r="H50" s="803"/>
      <c r="I50" s="804">
        <v>30</v>
      </c>
      <c r="J50" s="804">
        <v>60</v>
      </c>
      <c r="K50" s="804">
        <v>75</v>
      </c>
      <c r="L50" s="1055">
        <v>85</v>
      </c>
      <c r="M50" s="803"/>
      <c r="N50" s="803">
        <v>54</v>
      </c>
      <c r="O50" s="803">
        <v>74</v>
      </c>
      <c r="P50" s="803">
        <v>84</v>
      </c>
      <c r="Q50" s="256">
        <v>85</v>
      </c>
      <c r="R50" s="256"/>
      <c r="S50" s="803">
        <v>61</v>
      </c>
      <c r="T50" s="803">
        <v>58</v>
      </c>
      <c r="U50" s="803">
        <v>73</v>
      </c>
      <c r="V50" s="23"/>
    </row>
    <row r="51" spans="2:22" ht="12.75">
      <c r="B51" s="15"/>
      <c r="C51" s="29" t="s">
        <v>31</v>
      </c>
      <c r="D51" s="1054">
        <v>190</v>
      </c>
      <c r="E51" s="803">
        <v>173</v>
      </c>
      <c r="F51" s="803">
        <v>245</v>
      </c>
      <c r="G51" s="803">
        <v>346</v>
      </c>
      <c r="H51" s="803"/>
      <c r="I51" s="804">
        <v>269</v>
      </c>
      <c r="J51" s="804">
        <v>316</v>
      </c>
      <c r="K51" s="804">
        <v>239</v>
      </c>
      <c r="L51" s="1055">
        <v>383</v>
      </c>
      <c r="M51" s="803"/>
      <c r="N51" s="803">
        <v>269</v>
      </c>
      <c r="O51" s="803">
        <v>316</v>
      </c>
      <c r="P51" s="803">
        <v>239</v>
      </c>
      <c r="Q51" s="256">
        <v>383</v>
      </c>
      <c r="R51" s="256"/>
      <c r="S51" s="803">
        <v>242</v>
      </c>
      <c r="T51" s="803">
        <v>279</v>
      </c>
      <c r="U51" s="803">
        <v>354</v>
      </c>
      <c r="V51" s="23"/>
    </row>
    <row r="52" spans="2:22" ht="12.75">
      <c r="B52" s="15"/>
      <c r="C52" s="29" t="s">
        <v>89</v>
      </c>
      <c r="D52" s="1054">
        <v>-27</v>
      </c>
      <c r="E52" s="803">
        <v>-21</v>
      </c>
      <c r="F52" s="803">
        <v>-18</v>
      </c>
      <c r="G52" s="803">
        <v>-11</v>
      </c>
      <c r="H52" s="803"/>
      <c r="I52" s="804">
        <v>-10</v>
      </c>
      <c r="J52" s="804">
        <v>-10</v>
      </c>
      <c r="K52" s="804">
        <v>-17</v>
      </c>
      <c r="L52" s="1055">
        <v>-16</v>
      </c>
      <c r="M52" s="803"/>
      <c r="N52" s="803">
        <v>-11</v>
      </c>
      <c r="O52" s="803">
        <v>-10</v>
      </c>
      <c r="P52" s="803">
        <v>-17</v>
      </c>
      <c r="Q52" s="256">
        <v>-17</v>
      </c>
      <c r="R52" s="256"/>
      <c r="S52" s="803">
        <v>-21</v>
      </c>
      <c r="T52" s="803">
        <v>-14</v>
      </c>
      <c r="U52" s="803">
        <v>-10</v>
      </c>
      <c r="V52" s="23"/>
    </row>
    <row r="53" spans="2:22" ht="12.75">
      <c r="B53" s="15"/>
      <c r="C53" s="29" t="s">
        <v>9</v>
      </c>
      <c r="D53" s="1054">
        <v>-11</v>
      </c>
      <c r="E53" s="803">
        <v>-8</v>
      </c>
      <c r="F53" s="803">
        <v>-7</v>
      </c>
      <c r="G53" s="803">
        <v>14</v>
      </c>
      <c r="H53" s="803"/>
      <c r="I53" s="804">
        <v>-10</v>
      </c>
      <c r="J53" s="804">
        <v>-7</v>
      </c>
      <c r="K53" s="804">
        <v>-3</v>
      </c>
      <c r="L53" s="1055">
        <v>1</v>
      </c>
      <c r="M53" s="803"/>
      <c r="N53" s="803">
        <v>-10</v>
      </c>
      <c r="O53" s="803">
        <v>-7</v>
      </c>
      <c r="P53" s="803">
        <v>-4</v>
      </c>
      <c r="Q53" s="256">
        <v>-5</v>
      </c>
      <c r="R53" s="256"/>
      <c r="S53" s="803">
        <v>-7</v>
      </c>
      <c r="T53" s="803">
        <v>-5</v>
      </c>
      <c r="U53" s="803">
        <v>-11</v>
      </c>
      <c r="V53" s="23"/>
    </row>
    <row r="54" spans="2:22" ht="12.75">
      <c r="B54" s="15"/>
      <c r="C54" s="28" t="s">
        <v>338</v>
      </c>
      <c r="D54" s="991">
        <v>4</v>
      </c>
      <c r="E54" s="254">
        <v>15</v>
      </c>
      <c r="F54" s="254">
        <v>15</v>
      </c>
      <c r="G54" s="254">
        <v>14</v>
      </c>
      <c r="H54" s="254"/>
      <c r="I54" s="254">
        <v>23</v>
      </c>
      <c r="J54" s="254">
        <v>18</v>
      </c>
      <c r="K54" s="254">
        <v>26</v>
      </c>
      <c r="L54" s="998">
        <v>22</v>
      </c>
      <c r="M54" s="254"/>
      <c r="N54" s="254">
        <v>23</v>
      </c>
      <c r="O54" s="254">
        <v>18</v>
      </c>
      <c r="P54" s="254">
        <v>26</v>
      </c>
      <c r="Q54" s="256">
        <v>22</v>
      </c>
      <c r="R54" s="254"/>
      <c r="S54" s="254">
        <v>24</v>
      </c>
      <c r="T54" s="254">
        <v>-13</v>
      </c>
      <c r="U54" s="254">
        <v>-1</v>
      </c>
      <c r="V54" s="23"/>
    </row>
    <row r="55" spans="2:22" ht="12.75">
      <c r="B55" s="15"/>
      <c r="C55" s="7" t="s">
        <v>10</v>
      </c>
      <c r="D55" s="1056">
        <v>3336</v>
      </c>
      <c r="E55" s="805">
        <v>3282</v>
      </c>
      <c r="F55" s="805">
        <v>3287</v>
      </c>
      <c r="G55" s="805">
        <v>3177</v>
      </c>
      <c r="H55" s="805"/>
      <c r="I55" s="805">
        <v>3191</v>
      </c>
      <c r="J55" s="805">
        <v>3241</v>
      </c>
      <c r="K55" s="805">
        <v>3157</v>
      </c>
      <c r="L55" s="1057">
        <v>2824</v>
      </c>
      <c r="M55" s="805"/>
      <c r="N55" s="805">
        <v>3178</v>
      </c>
      <c r="O55" s="805">
        <v>3210</v>
      </c>
      <c r="P55" s="805">
        <v>3149</v>
      </c>
      <c r="Q55" s="212">
        <v>2750</v>
      </c>
      <c r="R55" s="212"/>
      <c r="S55" s="805">
        <v>2978</v>
      </c>
      <c r="T55" s="805">
        <v>2882</v>
      </c>
      <c r="U55" s="805">
        <f>+U49+U50+U51+U52+U53+U54</f>
        <v>3097</v>
      </c>
      <c r="V55" s="23"/>
    </row>
    <row r="56" spans="2:22" ht="12.75">
      <c r="B56" s="15"/>
      <c r="C56" s="7"/>
      <c r="D56" s="1058"/>
      <c r="E56" s="349"/>
      <c r="F56" s="349"/>
      <c r="G56" s="349"/>
      <c r="H56" s="349"/>
      <c r="I56" s="349"/>
      <c r="J56" s="349"/>
      <c r="K56" s="360"/>
      <c r="L56" s="1072">
        <v>0</v>
      </c>
      <c r="M56" s="360"/>
      <c r="N56" s="349"/>
      <c r="O56" s="349"/>
      <c r="P56" s="360"/>
      <c r="Q56" s="336"/>
      <c r="R56" s="336"/>
      <c r="S56" s="360"/>
      <c r="T56" s="360"/>
      <c r="U56" s="360"/>
      <c r="V56" s="23"/>
    </row>
    <row r="57" spans="2:22" ht="12.75">
      <c r="B57" s="15"/>
      <c r="C57" s="42" t="s">
        <v>314</v>
      </c>
      <c r="D57" s="1070"/>
      <c r="E57" s="358"/>
      <c r="F57" s="357"/>
      <c r="G57" s="357"/>
      <c r="H57" s="357"/>
      <c r="I57" s="335"/>
      <c r="J57" s="335"/>
      <c r="K57" s="359"/>
      <c r="L57" s="1071"/>
      <c r="M57" s="359"/>
      <c r="N57" s="335"/>
      <c r="O57" s="335"/>
      <c r="P57" s="359"/>
      <c r="Q57" s="335"/>
      <c r="R57" s="335"/>
      <c r="S57" s="359"/>
      <c r="T57" s="359"/>
      <c r="U57" s="359"/>
      <c r="V57" s="23"/>
    </row>
    <row r="58" spans="2:22" ht="12.75">
      <c r="B58" s="15"/>
      <c r="C58" s="29" t="s">
        <v>7</v>
      </c>
      <c r="D58" s="1062">
        <v>0.5046847705256471</v>
      </c>
      <c r="E58" s="797">
        <v>0.4727963525835866</v>
      </c>
      <c r="F58" s="797">
        <v>0.47683580208005044</v>
      </c>
      <c r="G58" s="797">
        <v>0.42258457787259984</v>
      </c>
      <c r="H58" s="797"/>
      <c r="I58" s="213">
        <v>0.48077883175237146</v>
      </c>
      <c r="J58" s="213">
        <v>0.4639559371456342</v>
      </c>
      <c r="K58" s="213">
        <v>0.47873776577792776</v>
      </c>
      <c r="L58" s="1003">
        <v>0.3843259162303665</v>
      </c>
      <c r="M58" s="213"/>
      <c r="N58" s="213">
        <v>0.4747878182725911</v>
      </c>
      <c r="O58" s="213">
        <v>0.4566661266807063</v>
      </c>
      <c r="P58" s="213">
        <v>0.4760377995275059</v>
      </c>
      <c r="Q58" s="213">
        <v>0.3714192708333333</v>
      </c>
      <c r="R58" s="213"/>
      <c r="S58" s="213">
        <v>0.4767752269087026</v>
      </c>
      <c r="T58" s="213">
        <v>0.4424034334763948</v>
      </c>
      <c r="U58" s="213">
        <f>+U49/$U$6</f>
        <v>0.4694802929891873</v>
      </c>
      <c r="V58" s="23"/>
    </row>
    <row r="59" spans="2:22" ht="12.75">
      <c r="B59" s="15"/>
      <c r="C59" s="29" t="s">
        <v>8</v>
      </c>
      <c r="D59" s="1062">
        <v>0.00980392156862745</v>
      </c>
      <c r="E59" s="797">
        <v>0.053811659192825115</v>
      </c>
      <c r="F59" s="797">
        <v>0.11063829787234042</v>
      </c>
      <c r="G59" s="797">
        <v>0.16205533596837945</v>
      </c>
      <c r="H59" s="797"/>
      <c r="I59" s="797">
        <v>0.09868421052631579</v>
      </c>
      <c r="J59" s="797">
        <v>0.1534526854219949</v>
      </c>
      <c r="K59" s="797">
        <v>0.18248175182481752</v>
      </c>
      <c r="L59" s="1063">
        <v>0.19362186788154898</v>
      </c>
      <c r="M59" s="797"/>
      <c r="N59" s="213">
        <v>0.25</v>
      </c>
      <c r="O59" s="213">
        <v>0.25</v>
      </c>
      <c r="P59" s="213">
        <v>0.2692307692307692</v>
      </c>
      <c r="Q59" s="213">
        <v>0.2599388379204893</v>
      </c>
      <c r="R59" s="213"/>
      <c r="S59" s="213">
        <v>0.18885448916408668</v>
      </c>
      <c r="T59" s="213">
        <v>0.18181818181818182</v>
      </c>
      <c r="U59" s="213">
        <f>+U50/$U$9</f>
        <v>0.22884012539184953</v>
      </c>
      <c r="V59" s="23"/>
    </row>
    <row r="60" spans="2:22" ht="12.75">
      <c r="B60" s="15"/>
      <c r="C60" s="29" t="s">
        <v>31</v>
      </c>
      <c r="D60" s="1062">
        <v>0.2270011947431302</v>
      </c>
      <c r="E60" s="797">
        <v>0.19548022598870057</v>
      </c>
      <c r="F60" s="797">
        <v>0.22897196261682243</v>
      </c>
      <c r="G60" s="797">
        <v>0.295221843003413</v>
      </c>
      <c r="H60" s="797"/>
      <c r="I60" s="797">
        <v>0.24454545454545454</v>
      </c>
      <c r="J60" s="797">
        <v>0.25859247135842883</v>
      </c>
      <c r="K60" s="797">
        <v>0.1865729898516784</v>
      </c>
      <c r="L60" s="1063">
        <v>0.2761355443403028</v>
      </c>
      <c r="M60" s="797"/>
      <c r="N60" s="213">
        <v>0.24454545454545454</v>
      </c>
      <c r="O60" s="213">
        <v>0.25859247135842883</v>
      </c>
      <c r="P60" s="213">
        <v>0.1865729898516784</v>
      </c>
      <c r="Q60" s="213">
        <v>0.2761355443403028</v>
      </c>
      <c r="R60" s="213"/>
      <c r="S60" s="213">
        <v>0.1977124183006536</v>
      </c>
      <c r="T60" s="213">
        <v>0.2124904798172125</v>
      </c>
      <c r="U60" s="213">
        <f>+U51/$U$10</f>
        <v>0.24651810584958217</v>
      </c>
      <c r="V60" s="23"/>
    </row>
    <row r="61" spans="2:22" ht="12.75">
      <c r="B61" s="15"/>
      <c r="C61" s="29" t="s">
        <v>89</v>
      </c>
      <c r="D61" s="1062">
        <v>-0.6136363636363636</v>
      </c>
      <c r="E61" s="797">
        <v>-0.3888888888888889</v>
      </c>
      <c r="F61" s="797">
        <v>-0.47368421052631576</v>
      </c>
      <c r="G61" s="797">
        <v>-0.15492957746478872</v>
      </c>
      <c r="H61" s="797"/>
      <c r="I61" s="797">
        <v>-0.1724137931034483</v>
      </c>
      <c r="J61" s="797">
        <v>-0.14925373134328357</v>
      </c>
      <c r="K61" s="797">
        <v>-0.32075471698113206</v>
      </c>
      <c r="L61" s="1063">
        <v>-0.18823529411764706</v>
      </c>
      <c r="M61" s="797"/>
      <c r="N61" s="213">
        <v>-0.1896551724137931</v>
      </c>
      <c r="O61" s="213">
        <v>-0.14925373134328357</v>
      </c>
      <c r="P61" s="213">
        <v>-0.32075471698113206</v>
      </c>
      <c r="Q61" s="213">
        <v>-0.2</v>
      </c>
      <c r="R61" s="213"/>
      <c r="S61" s="213">
        <v>-0.28378378378378377</v>
      </c>
      <c r="T61" s="213">
        <v>-0.1891891891891892</v>
      </c>
      <c r="U61" s="213">
        <f>+U52/$U$11</f>
        <v>-0.16129032258064516</v>
      </c>
      <c r="V61" s="23"/>
    </row>
    <row r="62" spans="2:22" ht="12.75">
      <c r="B62" s="15"/>
      <c r="C62" s="29" t="s">
        <v>9</v>
      </c>
      <c r="D62" s="1062">
        <v>-0.11702127659574468</v>
      </c>
      <c r="E62" s="797">
        <v>-0.06779661016949153</v>
      </c>
      <c r="F62" s="797">
        <v>-0.08139534883720931</v>
      </c>
      <c r="G62" s="797">
        <v>0.09859154929577464</v>
      </c>
      <c r="H62" s="797"/>
      <c r="I62" s="797">
        <v>-0.12048192771084337</v>
      </c>
      <c r="J62" s="797">
        <v>-0.06422018348623854</v>
      </c>
      <c r="K62" s="797">
        <v>-0.03296703296703297</v>
      </c>
      <c r="L62" s="1063">
        <v>0.008</v>
      </c>
      <c r="M62" s="797"/>
      <c r="N62" s="213">
        <v>-0.12048192771084337</v>
      </c>
      <c r="O62" s="213">
        <v>-0.06422018348623854</v>
      </c>
      <c r="P62" s="213">
        <v>-0.04395604395604396</v>
      </c>
      <c r="Q62" s="213">
        <v>-0.04</v>
      </c>
      <c r="R62" s="213"/>
      <c r="S62" s="213">
        <v>-0.08433734939759036</v>
      </c>
      <c r="T62" s="213">
        <v>-0.05154639175257732</v>
      </c>
      <c r="U62" s="213">
        <f>+U53/$U$12</f>
        <v>-0.1527777777777778</v>
      </c>
      <c r="V62" s="23"/>
    </row>
    <row r="63" spans="2:22" ht="12.75">
      <c r="B63" s="15"/>
      <c r="C63" s="7" t="s">
        <v>10</v>
      </c>
      <c r="D63" s="1073">
        <v>0.4458700882117081</v>
      </c>
      <c r="E63" s="1074">
        <v>0.4179294537119572</v>
      </c>
      <c r="F63" s="1074">
        <v>0.42309177500321793</v>
      </c>
      <c r="G63" s="1074">
        <v>0.38881409864153715</v>
      </c>
      <c r="H63" s="1074"/>
      <c r="I63" s="1074">
        <v>0.42320954907161806</v>
      </c>
      <c r="J63" s="1074">
        <v>0.40870113493064314</v>
      </c>
      <c r="K63" s="1074">
        <v>0.4080392917151351</v>
      </c>
      <c r="L63" s="1075">
        <v>0.3493752319683286</v>
      </c>
      <c r="M63" s="798"/>
      <c r="N63" s="223">
        <v>0.4251505016722408</v>
      </c>
      <c r="O63" s="223">
        <v>0.40829305520223863</v>
      </c>
      <c r="P63" s="223">
        <v>0.41072127298813094</v>
      </c>
      <c r="Q63" s="223">
        <v>0.34199726402188785</v>
      </c>
      <c r="R63" s="223"/>
      <c r="S63" s="223">
        <v>0.4080570019183338</v>
      </c>
      <c r="T63" s="223">
        <v>0.3810153358011634</v>
      </c>
      <c r="U63" s="223">
        <f>+U55/$U$14</f>
        <v>0.40960190450998546</v>
      </c>
      <c r="V63" s="23"/>
    </row>
    <row r="64" spans="2:22" ht="12.75">
      <c r="B64" s="15"/>
      <c r="C64" s="7"/>
      <c r="D64" s="174"/>
      <c r="E64" s="174"/>
      <c r="F64" s="174"/>
      <c r="G64" s="174"/>
      <c r="H64" s="174"/>
      <c r="I64" s="173"/>
      <c r="J64" s="338"/>
      <c r="K64" s="338"/>
      <c r="L64" s="338"/>
      <c r="M64" s="338"/>
      <c r="N64" s="174"/>
      <c r="O64" s="338"/>
      <c r="P64" s="338"/>
      <c r="Q64" s="338"/>
      <c r="R64" s="338"/>
      <c r="S64" s="338"/>
      <c r="T64" s="338"/>
      <c r="U64" s="338"/>
      <c r="V64" s="23"/>
    </row>
    <row r="65" spans="2:22" ht="12.75">
      <c r="B65" s="15"/>
      <c r="C65" s="1209" t="s">
        <v>496</v>
      </c>
      <c r="D65" s="534"/>
      <c r="E65" s="534"/>
      <c r="F65" s="534"/>
      <c r="G65" s="534"/>
      <c r="H65" s="534"/>
      <c r="I65" s="534"/>
      <c r="J65" s="535"/>
      <c r="K65" s="535"/>
      <c r="L65" s="535"/>
      <c r="M65" s="932"/>
      <c r="N65" s="1399"/>
      <c r="O65" s="932"/>
      <c r="P65" s="932"/>
      <c r="Q65" s="932"/>
      <c r="R65" s="932"/>
      <c r="S65" s="932"/>
      <c r="T65" s="932"/>
      <c r="U65" s="932"/>
      <c r="V65" s="23"/>
    </row>
    <row r="66" spans="2:22" ht="12.75">
      <c r="B66" s="15"/>
      <c r="C66" s="1227" t="s">
        <v>530</v>
      </c>
      <c r="D66" s="48"/>
      <c r="E66" s="48"/>
      <c r="F66" s="48"/>
      <c r="G66" s="48"/>
      <c r="H66" s="48"/>
      <c r="I66" s="48"/>
      <c r="J66" s="43"/>
      <c r="K66" s="43"/>
      <c r="L66" s="43"/>
      <c r="M66" s="933"/>
      <c r="N66" s="48"/>
      <c r="O66" s="79"/>
      <c r="P66" s="43"/>
      <c r="Q66" s="43"/>
      <c r="R66" s="933"/>
      <c r="S66" s="43"/>
      <c r="T66" s="43"/>
      <c r="U66" s="43"/>
      <c r="V66" s="23"/>
    </row>
    <row r="67" spans="2:22" ht="12.75">
      <c r="B67" s="339"/>
      <c r="C67" s="1207"/>
      <c r="D67" s="49"/>
      <c r="E67" s="49"/>
      <c r="F67" s="49"/>
      <c r="G67" s="50"/>
      <c r="H67" s="51"/>
      <c r="I67" s="52"/>
      <c r="J67" s="340"/>
      <c r="K67" s="340"/>
      <c r="L67" s="340"/>
      <c r="M67" s="340"/>
      <c r="N67" s="52"/>
      <c r="O67" s="340"/>
      <c r="P67" s="340"/>
      <c r="Q67" s="340"/>
      <c r="R67" s="340"/>
      <c r="S67" s="340"/>
      <c r="T67" s="340"/>
      <c r="U67" s="340"/>
      <c r="V67" s="167"/>
    </row>
    <row r="68" spans="2:22" ht="27.75" customHeight="1">
      <c r="B68" s="15"/>
      <c r="C68" s="79"/>
      <c r="D68" s="43"/>
      <c r="E68" s="43"/>
      <c r="F68" s="43"/>
      <c r="G68" s="43"/>
      <c r="H68" s="933"/>
      <c r="I68" s="44"/>
      <c r="J68" s="47"/>
      <c r="K68" s="47"/>
      <c r="L68" s="47"/>
      <c r="M68" s="47"/>
      <c r="N68" s="44"/>
      <c r="O68" s="47"/>
      <c r="P68" s="47"/>
      <c r="Q68" s="47"/>
      <c r="R68" s="47"/>
      <c r="S68" s="47"/>
      <c r="T68" s="47"/>
      <c r="U68" s="47"/>
      <c r="V68" s="23"/>
    </row>
    <row r="69" spans="2:22" ht="18.75">
      <c r="B69" s="15"/>
      <c r="C69" s="43"/>
      <c r="D69" s="1007"/>
      <c r="E69" s="535"/>
      <c r="F69" s="535"/>
      <c r="G69" s="535"/>
      <c r="H69" s="932"/>
      <c r="I69" s="1010"/>
      <c r="J69" s="1011"/>
      <c r="K69" s="1011"/>
      <c r="L69" s="1012"/>
      <c r="M69" s="47"/>
      <c r="N69" s="1506" t="s">
        <v>367</v>
      </c>
      <c r="O69" s="1506"/>
      <c r="P69" s="1506"/>
      <c r="Q69" s="1506"/>
      <c r="R69" s="1506"/>
      <c r="S69" s="1506"/>
      <c r="T69" s="115"/>
      <c r="U69" s="115"/>
      <c r="V69" s="23"/>
    </row>
    <row r="70" spans="2:22" ht="12.75">
      <c r="B70" s="15"/>
      <c r="C70" s="36" t="s">
        <v>90</v>
      </c>
      <c r="D70" s="1013" t="s">
        <v>2</v>
      </c>
      <c r="E70" s="53" t="s">
        <v>3</v>
      </c>
      <c r="F70" s="53" t="s">
        <v>4</v>
      </c>
      <c r="G70" s="53" t="s">
        <v>5</v>
      </c>
      <c r="H70" s="316"/>
      <c r="I70" s="20" t="s">
        <v>6</v>
      </c>
      <c r="J70" s="17" t="s">
        <v>142</v>
      </c>
      <c r="K70" s="17" t="s">
        <v>143</v>
      </c>
      <c r="L70" s="970" t="s">
        <v>228</v>
      </c>
      <c r="M70" s="32"/>
      <c r="N70" s="20" t="s">
        <v>6</v>
      </c>
      <c r="O70" s="17" t="s">
        <v>142</v>
      </c>
      <c r="P70" s="17" t="s">
        <v>143</v>
      </c>
      <c r="Q70" s="17" t="s">
        <v>228</v>
      </c>
      <c r="R70" s="32"/>
      <c r="S70" s="18" t="s">
        <v>339</v>
      </c>
      <c r="T70" s="18" t="s">
        <v>435</v>
      </c>
      <c r="U70" s="18" t="s">
        <v>537</v>
      </c>
      <c r="V70" s="23"/>
    </row>
    <row r="71" spans="2:22" ht="12.75">
      <c r="B71" s="15"/>
      <c r="C71" s="55" t="s">
        <v>7</v>
      </c>
      <c r="D71" s="1076">
        <v>2081</v>
      </c>
      <c r="E71" s="808">
        <v>1956</v>
      </c>
      <c r="F71" s="808">
        <v>1846</v>
      </c>
      <c r="G71" s="808">
        <v>1793</v>
      </c>
      <c r="H71" s="934"/>
      <c r="I71" s="808">
        <v>1790</v>
      </c>
      <c r="J71" s="808">
        <v>1666</v>
      </c>
      <c r="K71" s="808">
        <v>1728</v>
      </c>
      <c r="L71" s="1077">
        <v>567</v>
      </c>
      <c r="M71" s="934"/>
      <c r="N71" s="299">
        <v>1790</v>
      </c>
      <c r="O71" s="299">
        <v>1666</v>
      </c>
      <c r="P71" s="299">
        <v>1728</v>
      </c>
      <c r="Q71" s="299">
        <v>567</v>
      </c>
      <c r="R71" s="152"/>
      <c r="S71" s="299">
        <v>1566</v>
      </c>
      <c r="T71" s="299">
        <v>1113</v>
      </c>
      <c r="U71" s="299">
        <v>1548</v>
      </c>
      <c r="V71" s="23"/>
    </row>
    <row r="72" spans="2:22" ht="12.75">
      <c r="B72" s="15"/>
      <c r="C72" s="29" t="s">
        <v>8</v>
      </c>
      <c r="D72" s="1078">
        <v>-38</v>
      </c>
      <c r="E72" s="804">
        <v>-40</v>
      </c>
      <c r="F72" s="804">
        <v>-28</v>
      </c>
      <c r="G72" s="804">
        <v>-19</v>
      </c>
      <c r="H72" s="803"/>
      <c r="I72" s="804">
        <v>-31</v>
      </c>
      <c r="J72" s="804">
        <v>-21</v>
      </c>
      <c r="K72" s="804">
        <v>-7</v>
      </c>
      <c r="L72" s="1055">
        <v>-10</v>
      </c>
      <c r="M72" s="803"/>
      <c r="N72" s="256">
        <v>22</v>
      </c>
      <c r="O72" s="256">
        <v>30</v>
      </c>
      <c r="P72" s="256">
        <v>37</v>
      </c>
      <c r="Q72" s="256">
        <v>33</v>
      </c>
      <c r="R72" s="152"/>
      <c r="S72" s="256">
        <v>6</v>
      </c>
      <c r="T72" s="256">
        <v>-4</v>
      </c>
      <c r="U72" s="256">
        <v>7</v>
      </c>
      <c r="V72" s="23"/>
    </row>
    <row r="73" spans="2:22" ht="12.75">
      <c r="B73" s="15"/>
      <c r="C73" s="29" t="s">
        <v>31</v>
      </c>
      <c r="D73" s="1078">
        <v>-36</v>
      </c>
      <c r="E73" s="804">
        <v>-42</v>
      </c>
      <c r="F73" s="804">
        <v>31</v>
      </c>
      <c r="G73" s="804">
        <v>68</v>
      </c>
      <c r="H73" s="803"/>
      <c r="I73" s="804">
        <v>16</v>
      </c>
      <c r="J73" s="804">
        <v>53</v>
      </c>
      <c r="K73" s="804">
        <v>-25</v>
      </c>
      <c r="L73" s="1055">
        <v>106</v>
      </c>
      <c r="M73" s="803"/>
      <c r="N73" s="256">
        <v>16</v>
      </c>
      <c r="O73" s="256">
        <v>53</v>
      </c>
      <c r="P73" s="256">
        <v>-25</v>
      </c>
      <c r="Q73" s="256">
        <v>106</v>
      </c>
      <c r="R73" s="152"/>
      <c r="S73" s="256">
        <v>-17</v>
      </c>
      <c r="T73" s="256">
        <v>15</v>
      </c>
      <c r="U73" s="256">
        <v>73</v>
      </c>
      <c r="V73" s="23"/>
    </row>
    <row r="74" spans="2:22" ht="12.75">
      <c r="B74" s="15"/>
      <c r="C74" s="29" t="s">
        <v>89</v>
      </c>
      <c r="D74" s="1078">
        <v>-41</v>
      </c>
      <c r="E74" s="804">
        <v>-38</v>
      </c>
      <c r="F74" s="804">
        <v>-32</v>
      </c>
      <c r="G74" s="804">
        <v>-26</v>
      </c>
      <c r="H74" s="803"/>
      <c r="I74" s="804">
        <v>-26</v>
      </c>
      <c r="J74" s="804">
        <v>-26</v>
      </c>
      <c r="K74" s="804">
        <v>-32</v>
      </c>
      <c r="L74" s="1055">
        <v>-33</v>
      </c>
      <c r="M74" s="803"/>
      <c r="N74" s="256">
        <v>-26</v>
      </c>
      <c r="O74" s="256">
        <v>-26</v>
      </c>
      <c r="P74" s="256">
        <v>-32</v>
      </c>
      <c r="Q74" s="256">
        <v>-33</v>
      </c>
      <c r="R74" s="152"/>
      <c r="S74" s="256">
        <v>-37</v>
      </c>
      <c r="T74" s="256">
        <v>-32</v>
      </c>
      <c r="U74" s="256">
        <v>-24</v>
      </c>
      <c r="V74" s="23"/>
    </row>
    <row r="75" spans="2:22" ht="12.75">
      <c r="B75" s="15"/>
      <c r="C75" s="29" t="s">
        <v>9</v>
      </c>
      <c r="D75" s="1078">
        <v>-17</v>
      </c>
      <c r="E75" s="804">
        <v>-18</v>
      </c>
      <c r="F75" s="804">
        <v>-14</v>
      </c>
      <c r="G75" s="804">
        <v>-1</v>
      </c>
      <c r="H75" s="803"/>
      <c r="I75" s="804">
        <v>-14</v>
      </c>
      <c r="J75" s="804">
        <v>-10</v>
      </c>
      <c r="K75" s="804">
        <v>-8</v>
      </c>
      <c r="L75" s="1055">
        <v>-34</v>
      </c>
      <c r="M75" s="803"/>
      <c r="N75" s="256">
        <v>-14</v>
      </c>
      <c r="O75" s="256">
        <v>-10</v>
      </c>
      <c r="P75" s="256">
        <v>-8</v>
      </c>
      <c r="Q75" s="256">
        <v>-34</v>
      </c>
      <c r="R75" s="152"/>
      <c r="S75" s="256">
        <v>-9</v>
      </c>
      <c r="T75" s="256">
        <v>-7</v>
      </c>
      <c r="U75" s="256">
        <v>-12</v>
      </c>
      <c r="V75" s="23"/>
    </row>
    <row r="76" spans="2:22" ht="12.75">
      <c r="B76" s="15"/>
      <c r="C76" s="28" t="s">
        <v>338</v>
      </c>
      <c r="D76" s="991">
        <v>35</v>
      </c>
      <c r="E76" s="254">
        <v>-1</v>
      </c>
      <c r="F76" s="254">
        <v>17</v>
      </c>
      <c r="G76" s="254">
        <v>1</v>
      </c>
      <c r="H76" s="254"/>
      <c r="I76" s="254">
        <v>28</v>
      </c>
      <c r="J76" s="254">
        <v>24</v>
      </c>
      <c r="K76" s="254">
        <v>33</v>
      </c>
      <c r="L76" s="998">
        <v>30</v>
      </c>
      <c r="M76" s="254"/>
      <c r="N76" s="254">
        <v>29</v>
      </c>
      <c r="O76" s="254">
        <v>24</v>
      </c>
      <c r="P76" s="254">
        <v>33</v>
      </c>
      <c r="Q76" s="254">
        <v>29</v>
      </c>
      <c r="R76" s="148"/>
      <c r="S76" s="254">
        <v>19</v>
      </c>
      <c r="T76" s="254">
        <v>-5</v>
      </c>
      <c r="U76" s="254">
        <v>4</v>
      </c>
      <c r="V76" s="23"/>
    </row>
    <row r="77" spans="2:22" ht="12.75">
      <c r="B77" s="15"/>
      <c r="C77" s="56" t="s">
        <v>10</v>
      </c>
      <c r="D77" s="1056">
        <v>1984</v>
      </c>
      <c r="E77" s="805">
        <v>1817</v>
      </c>
      <c r="F77" s="805">
        <v>1820</v>
      </c>
      <c r="G77" s="805">
        <v>1816</v>
      </c>
      <c r="H77" s="805"/>
      <c r="I77" s="809">
        <v>1763</v>
      </c>
      <c r="J77" s="809">
        <v>1686</v>
      </c>
      <c r="K77" s="809">
        <v>1689</v>
      </c>
      <c r="L77" s="1079">
        <v>626</v>
      </c>
      <c r="M77" s="936"/>
      <c r="N77" s="875">
        <v>1817</v>
      </c>
      <c r="O77" s="875">
        <v>1737</v>
      </c>
      <c r="P77" s="875">
        <v>1733</v>
      </c>
      <c r="Q77" s="875">
        <v>668</v>
      </c>
      <c r="R77" s="148"/>
      <c r="S77" s="875">
        <v>1528</v>
      </c>
      <c r="T77" s="875">
        <v>1080</v>
      </c>
      <c r="U77" s="875">
        <f>+U71+U72+U73+U74+U75+U76</f>
        <v>1596</v>
      </c>
      <c r="V77" s="23"/>
    </row>
    <row r="78" spans="2:22" ht="12.75">
      <c r="B78" s="15"/>
      <c r="C78" s="56"/>
      <c r="D78" s="1018"/>
      <c r="E78" s="209"/>
      <c r="F78" s="209"/>
      <c r="G78" s="209"/>
      <c r="H78" s="209"/>
      <c r="I78" s="230"/>
      <c r="J78" s="341"/>
      <c r="K78" s="361"/>
      <c r="L78" s="1080"/>
      <c r="M78" s="361"/>
      <c r="N78" s="876"/>
      <c r="O78" s="341"/>
      <c r="P78" s="341"/>
      <c r="Q78" s="341"/>
      <c r="R78" s="148"/>
      <c r="S78" s="341"/>
      <c r="T78" s="341"/>
      <c r="U78" s="341"/>
      <c r="V78" s="23"/>
    </row>
    <row r="79" spans="2:22" ht="12.75">
      <c r="B79" s="15"/>
      <c r="C79" s="57" t="s">
        <v>69</v>
      </c>
      <c r="D79" s="1020"/>
      <c r="E79" s="321"/>
      <c r="F79" s="321"/>
      <c r="G79" s="321"/>
      <c r="H79" s="321"/>
      <c r="I79" s="321"/>
      <c r="J79" s="320"/>
      <c r="K79" s="362"/>
      <c r="L79" s="1081"/>
      <c r="M79" s="362"/>
      <c r="N79" s="321"/>
      <c r="O79" s="320"/>
      <c r="P79" s="320"/>
      <c r="Q79" s="320"/>
      <c r="R79" s="314"/>
      <c r="S79" s="320"/>
      <c r="T79" s="320"/>
      <c r="U79" s="320"/>
      <c r="V79" s="23"/>
    </row>
    <row r="80" spans="2:22" ht="12.75">
      <c r="B80" s="15"/>
      <c r="C80" s="29" t="s">
        <v>7</v>
      </c>
      <c r="D80" s="1082">
        <v>0.3304748292837859</v>
      </c>
      <c r="E80" s="806">
        <v>0.29726443768996963</v>
      </c>
      <c r="F80" s="806">
        <v>0.2908919004097069</v>
      </c>
      <c r="G80" s="806">
        <v>0.27323986589454435</v>
      </c>
      <c r="H80" s="797"/>
      <c r="I80" s="213">
        <v>0.29788650357796637</v>
      </c>
      <c r="J80" s="213">
        <v>0.2698849829904422</v>
      </c>
      <c r="K80" s="213">
        <v>0.2915963550455619</v>
      </c>
      <c r="L80" s="1003">
        <v>0.09276832460732984</v>
      </c>
      <c r="M80" s="213"/>
      <c r="N80" s="213">
        <v>0.29788650357796637</v>
      </c>
      <c r="O80" s="213">
        <v>0.2698849829904422</v>
      </c>
      <c r="P80" s="213">
        <v>0.2915963550455619</v>
      </c>
      <c r="Q80" s="213">
        <v>0.09276832460732984</v>
      </c>
      <c r="R80" s="213"/>
      <c r="S80" s="213">
        <v>0.27869727709556863</v>
      </c>
      <c r="T80" s="213">
        <v>0.19186347181520427</v>
      </c>
      <c r="U80" s="213">
        <f>+U71/$U$6</f>
        <v>0.2699686083013603</v>
      </c>
      <c r="V80" s="23"/>
    </row>
    <row r="81" spans="2:22" ht="12.75">
      <c r="B81" s="15"/>
      <c r="C81" s="29" t="s">
        <v>8</v>
      </c>
      <c r="D81" s="1082">
        <v>-0.18627450980392157</v>
      </c>
      <c r="E81" s="806">
        <v>-0.17937219730941703</v>
      </c>
      <c r="F81" s="806">
        <v>-0.11914893617021277</v>
      </c>
      <c r="G81" s="806">
        <v>-0.07509881422924901</v>
      </c>
      <c r="H81" s="797"/>
      <c r="I81" s="797">
        <v>-0.10197368421052631</v>
      </c>
      <c r="J81" s="797">
        <v>-0.05370843989769821</v>
      </c>
      <c r="K81" s="797">
        <v>-0.0170316301703163</v>
      </c>
      <c r="L81" s="1063">
        <v>-0.022779043280182234</v>
      </c>
      <c r="M81" s="797"/>
      <c r="N81" s="213">
        <v>0.10185185185185185</v>
      </c>
      <c r="O81" s="213">
        <v>0.10135135135135136</v>
      </c>
      <c r="P81" s="213">
        <v>0.11858974358974358</v>
      </c>
      <c r="Q81" s="213">
        <v>0.10091743119266056</v>
      </c>
      <c r="R81" s="213"/>
      <c r="S81" s="213">
        <v>0.018575851393188854</v>
      </c>
      <c r="T81" s="213">
        <v>-0.012539184952978056</v>
      </c>
      <c r="U81" s="213">
        <f>+U72/$U$9</f>
        <v>0.0219435736677116</v>
      </c>
      <c r="V81" s="23"/>
    </row>
    <row r="82" spans="2:22" ht="12.75">
      <c r="B82" s="15"/>
      <c r="C82" s="29" t="s">
        <v>31</v>
      </c>
      <c r="D82" s="1082">
        <v>-0.043010752688172046</v>
      </c>
      <c r="E82" s="806">
        <v>-0.04745762711864407</v>
      </c>
      <c r="F82" s="806">
        <v>0.02897196261682243</v>
      </c>
      <c r="G82" s="806">
        <v>0.05802047781569966</v>
      </c>
      <c r="H82" s="797"/>
      <c r="I82" s="797">
        <v>0.014545454545454545</v>
      </c>
      <c r="J82" s="797">
        <v>0.04337152209492635</v>
      </c>
      <c r="K82" s="797">
        <v>-0.0195160031225605</v>
      </c>
      <c r="L82" s="1063">
        <v>0.07642393655371305</v>
      </c>
      <c r="M82" s="797"/>
      <c r="N82" s="213">
        <v>0.014545454545454545</v>
      </c>
      <c r="O82" s="213">
        <v>0.04337152209492635</v>
      </c>
      <c r="P82" s="213">
        <v>-0.0195160031225605</v>
      </c>
      <c r="Q82" s="213">
        <v>0.07642393655371305</v>
      </c>
      <c r="R82" s="213"/>
      <c r="S82" s="213">
        <v>-0.013888888888888888</v>
      </c>
      <c r="T82" s="213">
        <v>0.011424219345011425</v>
      </c>
      <c r="U82" s="213">
        <f>+U73/$U$10</f>
        <v>0.05083565459610028</v>
      </c>
      <c r="V82" s="23"/>
    </row>
    <row r="83" spans="2:22" ht="12.75">
      <c r="B83" s="15"/>
      <c r="C83" s="29" t="s">
        <v>89</v>
      </c>
      <c r="D83" s="1082">
        <v>-0.9318181818181818</v>
      </c>
      <c r="E83" s="806">
        <v>-0.7037037037037037</v>
      </c>
      <c r="F83" s="806">
        <v>-0.8421052631578947</v>
      </c>
      <c r="G83" s="806">
        <v>-0.36619718309859156</v>
      </c>
      <c r="H83" s="797"/>
      <c r="I83" s="797">
        <v>-0.4482758620689655</v>
      </c>
      <c r="J83" s="797">
        <v>-0.3880597014925373</v>
      </c>
      <c r="K83" s="797">
        <v>-0.6037735849056604</v>
      </c>
      <c r="L83" s="1063">
        <v>-0.38823529411764707</v>
      </c>
      <c r="M83" s="797"/>
      <c r="N83" s="213">
        <v>-0.4482758620689655</v>
      </c>
      <c r="O83" s="213">
        <v>-0.3880597014925373</v>
      </c>
      <c r="P83" s="213">
        <v>-0.6037735849056604</v>
      </c>
      <c r="Q83" s="213">
        <v>-0.38823529411764707</v>
      </c>
      <c r="R83" s="213"/>
      <c r="S83" s="213">
        <v>-0.5</v>
      </c>
      <c r="T83" s="213">
        <v>-0.43243243243243246</v>
      </c>
      <c r="U83" s="213">
        <f>+U74/$U$11</f>
        <v>-0.3870967741935484</v>
      </c>
      <c r="V83" s="23"/>
    </row>
    <row r="84" spans="2:22" ht="12.75">
      <c r="B84" s="15"/>
      <c r="C84" s="29" t="s">
        <v>9</v>
      </c>
      <c r="D84" s="1082">
        <v>-0.18085106382978725</v>
      </c>
      <c r="E84" s="806">
        <v>-0.15254237288135594</v>
      </c>
      <c r="F84" s="806">
        <v>-0.16279069767441862</v>
      </c>
      <c r="G84" s="806">
        <v>-0.007042253521126761</v>
      </c>
      <c r="H84" s="797"/>
      <c r="I84" s="797">
        <v>-0.1686746987951807</v>
      </c>
      <c r="J84" s="797">
        <v>-0.09174311926605505</v>
      </c>
      <c r="K84" s="797">
        <v>-0.08791208791208792</v>
      </c>
      <c r="L84" s="1063">
        <v>-0.272</v>
      </c>
      <c r="M84" s="797"/>
      <c r="N84" s="213">
        <v>-0.1686746987951807</v>
      </c>
      <c r="O84" s="213">
        <v>-0.09174311926605505</v>
      </c>
      <c r="P84" s="213">
        <v>-0.08791208791208792</v>
      </c>
      <c r="Q84" s="213">
        <v>-0.272</v>
      </c>
      <c r="R84" s="213"/>
      <c r="S84" s="213">
        <v>-0.10843373493975904</v>
      </c>
      <c r="T84" s="213">
        <v>-0.07216494845360824</v>
      </c>
      <c r="U84" s="213">
        <f>+U75/$U$12</f>
        <v>-0.16666666666666666</v>
      </c>
      <c r="V84" s="23"/>
    </row>
    <row r="85" spans="2:22" ht="12.75">
      <c r="B85" s="15"/>
      <c r="C85" s="56" t="s">
        <v>10</v>
      </c>
      <c r="D85" s="1083">
        <v>0.2651697407110398</v>
      </c>
      <c r="E85" s="807">
        <v>0.23137654399592514</v>
      </c>
      <c r="F85" s="807">
        <v>0.23426438409061656</v>
      </c>
      <c r="G85" s="807">
        <v>0.22224941867580467</v>
      </c>
      <c r="H85" s="798"/>
      <c r="I85" s="798">
        <v>0.23381962864721487</v>
      </c>
      <c r="J85" s="798">
        <v>0.21261034047919294</v>
      </c>
      <c r="K85" s="798">
        <v>0.21830166731291198</v>
      </c>
      <c r="L85" s="1065">
        <v>0.07744649263887171</v>
      </c>
      <c r="M85" s="798"/>
      <c r="N85" s="223">
        <v>0.24307692307692308</v>
      </c>
      <c r="O85" s="223">
        <v>0.22093614856270669</v>
      </c>
      <c r="P85" s="223">
        <v>0.22603365071083867</v>
      </c>
      <c r="Q85" s="223">
        <v>0.08340616806093146</v>
      </c>
      <c r="R85" s="223"/>
      <c r="S85" s="223">
        <v>0.20937243080295972</v>
      </c>
      <c r="T85" s="223">
        <v>0.14323607427055704</v>
      </c>
      <c r="U85" s="223">
        <f>+U77/$U$14</f>
        <v>0.21108319005422563</v>
      </c>
      <c r="V85" s="23"/>
    </row>
    <row r="86" spans="2:22" ht="12.75">
      <c r="B86" s="15"/>
      <c r="C86" s="56"/>
      <c r="D86" s="1084"/>
      <c r="E86" s="342"/>
      <c r="F86" s="342"/>
      <c r="G86" s="342"/>
      <c r="H86" s="877"/>
      <c r="I86" s="230"/>
      <c r="J86" s="341"/>
      <c r="K86" s="361"/>
      <c r="L86" s="1080"/>
      <c r="M86" s="361"/>
      <c r="N86" s="876"/>
      <c r="O86" s="341"/>
      <c r="P86" s="341"/>
      <c r="Q86" s="951"/>
      <c r="R86" s="314"/>
      <c r="S86" s="951"/>
      <c r="T86" s="951"/>
      <c r="U86" s="951"/>
      <c r="V86" s="23"/>
    </row>
    <row r="87" spans="2:22" ht="12.75">
      <c r="B87" s="15"/>
      <c r="C87" s="310" t="s">
        <v>372</v>
      </c>
      <c r="D87" s="205">
        <v>-71</v>
      </c>
      <c r="E87" s="205">
        <v>45</v>
      </c>
      <c r="F87" s="205">
        <v>28</v>
      </c>
      <c r="G87" s="205">
        <v>125</v>
      </c>
      <c r="H87" s="205"/>
      <c r="I87" s="205">
        <v>-10</v>
      </c>
      <c r="J87" s="205">
        <v>99</v>
      </c>
      <c r="K87" s="205">
        <v>-49</v>
      </c>
      <c r="L87" s="978">
        <v>570</v>
      </c>
      <c r="M87" s="205"/>
      <c r="N87" s="205">
        <v>-10</v>
      </c>
      <c r="O87" s="205">
        <v>52</v>
      </c>
      <c r="P87" s="205">
        <v>-2</v>
      </c>
      <c r="Q87" s="205">
        <v>569</v>
      </c>
      <c r="R87" s="1375">
        <v>-609</v>
      </c>
      <c r="S87" s="205">
        <v>-13</v>
      </c>
      <c r="T87" s="205">
        <v>313</v>
      </c>
      <c r="U87" s="205">
        <f>+U96-U77</f>
        <v>10</v>
      </c>
      <c r="V87" s="23"/>
    </row>
    <row r="88" spans="2:22" ht="12.75">
      <c r="B88" s="15"/>
      <c r="C88" s="28"/>
      <c r="D88" s="1026"/>
      <c r="E88" s="343"/>
      <c r="F88" s="343"/>
      <c r="G88" s="343"/>
      <c r="H88" s="343"/>
      <c r="I88" s="343"/>
      <c r="J88" s="343"/>
      <c r="K88" s="363"/>
      <c r="L88" s="1085"/>
      <c r="M88" s="363"/>
      <c r="N88" s="343"/>
      <c r="O88" s="343"/>
      <c r="P88" s="343"/>
      <c r="Q88" s="343"/>
      <c r="R88" s="148"/>
      <c r="S88" s="343"/>
      <c r="T88" s="343"/>
      <c r="U88" s="343"/>
      <c r="V88" s="23"/>
    </row>
    <row r="89" spans="2:22" ht="12.75">
      <c r="B89" s="15"/>
      <c r="C89" s="58" t="s">
        <v>317</v>
      </c>
      <c r="D89" s="1086"/>
      <c r="E89" s="364"/>
      <c r="F89" s="364"/>
      <c r="G89" s="364"/>
      <c r="H89" s="357"/>
      <c r="I89" s="364"/>
      <c r="J89" s="210"/>
      <c r="K89" s="337"/>
      <c r="L89" s="1087"/>
      <c r="M89" s="337"/>
      <c r="N89" s="878"/>
      <c r="O89" s="210"/>
      <c r="P89" s="210"/>
      <c r="Q89" s="334"/>
      <c r="R89" s="314"/>
      <c r="S89" s="334"/>
      <c r="T89" s="334"/>
      <c r="U89" s="334"/>
      <c r="V89" s="23"/>
    </row>
    <row r="90" spans="2:22" ht="12.75">
      <c r="B90" s="15"/>
      <c r="C90" s="55" t="s">
        <v>7</v>
      </c>
      <c r="D90" s="1076">
        <v>2026</v>
      </c>
      <c r="E90" s="808">
        <v>1967</v>
      </c>
      <c r="F90" s="808">
        <v>1870</v>
      </c>
      <c r="G90" s="808">
        <v>1898</v>
      </c>
      <c r="H90" s="934"/>
      <c r="I90" s="808">
        <v>1816</v>
      </c>
      <c r="J90" s="808">
        <v>1764</v>
      </c>
      <c r="K90" s="808">
        <v>1743</v>
      </c>
      <c r="L90" s="1077">
        <v>1179</v>
      </c>
      <c r="M90" s="934"/>
      <c r="N90" s="299">
        <v>1780</v>
      </c>
      <c r="O90" s="299">
        <v>1719</v>
      </c>
      <c r="P90" s="299">
        <v>1727</v>
      </c>
      <c r="Q90" s="299">
        <v>1112</v>
      </c>
      <c r="R90" s="148"/>
      <c r="S90" s="299">
        <v>1553</v>
      </c>
      <c r="T90" s="299">
        <v>1426</v>
      </c>
      <c r="U90" s="299">
        <v>1558</v>
      </c>
      <c r="V90" s="23"/>
    </row>
    <row r="91" spans="2:22" ht="12.75">
      <c r="B91" s="15"/>
      <c r="C91" s="29" t="s">
        <v>8</v>
      </c>
      <c r="D91" s="1078">
        <v>-38</v>
      </c>
      <c r="E91" s="804">
        <v>-40</v>
      </c>
      <c r="F91" s="804">
        <v>-28</v>
      </c>
      <c r="G91" s="804">
        <v>-19</v>
      </c>
      <c r="H91" s="803"/>
      <c r="I91" s="804">
        <v>-31</v>
      </c>
      <c r="J91" s="804">
        <v>-19</v>
      </c>
      <c r="K91" s="804">
        <v>-5</v>
      </c>
      <c r="L91" s="1055">
        <v>-10</v>
      </c>
      <c r="M91" s="803"/>
      <c r="N91" s="256">
        <v>22</v>
      </c>
      <c r="O91" s="256">
        <v>30</v>
      </c>
      <c r="P91" s="256">
        <v>37</v>
      </c>
      <c r="Q91" s="256">
        <v>33</v>
      </c>
      <c r="R91" s="148"/>
      <c r="S91" s="256">
        <v>6</v>
      </c>
      <c r="T91" s="256">
        <v>-4</v>
      </c>
      <c r="U91" s="256">
        <v>7</v>
      </c>
      <c r="V91" s="23"/>
    </row>
    <row r="92" spans="2:22" ht="12.75">
      <c r="B92" s="15"/>
      <c r="C92" s="29" t="s">
        <v>31</v>
      </c>
      <c r="D92" s="1078">
        <v>-27</v>
      </c>
      <c r="E92" s="804">
        <v>-42</v>
      </c>
      <c r="F92" s="804">
        <v>26</v>
      </c>
      <c r="G92" s="804">
        <v>68</v>
      </c>
      <c r="H92" s="803"/>
      <c r="I92" s="804">
        <v>16</v>
      </c>
      <c r="J92" s="804">
        <v>53</v>
      </c>
      <c r="K92" s="804">
        <v>-25</v>
      </c>
      <c r="L92" s="1055">
        <v>106</v>
      </c>
      <c r="M92" s="803"/>
      <c r="N92" s="256">
        <v>16</v>
      </c>
      <c r="O92" s="256">
        <v>53</v>
      </c>
      <c r="P92" s="256">
        <v>-25</v>
      </c>
      <c r="Q92" s="256">
        <v>106</v>
      </c>
      <c r="R92" s="148"/>
      <c r="S92" s="256">
        <v>-17</v>
      </c>
      <c r="T92" s="256">
        <v>15</v>
      </c>
      <c r="U92" s="256">
        <v>73</v>
      </c>
      <c r="V92" s="23"/>
    </row>
    <row r="93" spans="2:22" ht="12.75">
      <c r="B93" s="15"/>
      <c r="C93" s="29" t="s">
        <v>89</v>
      </c>
      <c r="D93" s="1078">
        <v>-40</v>
      </c>
      <c r="E93" s="804">
        <v>-34</v>
      </c>
      <c r="F93" s="804">
        <v>-32</v>
      </c>
      <c r="G93" s="804">
        <v>-26</v>
      </c>
      <c r="H93" s="803"/>
      <c r="I93" s="804">
        <v>-25</v>
      </c>
      <c r="J93" s="804">
        <v>-26</v>
      </c>
      <c r="K93" s="804">
        <v>-32</v>
      </c>
      <c r="L93" s="1055">
        <v>-32</v>
      </c>
      <c r="M93" s="803"/>
      <c r="N93" s="256">
        <v>-26</v>
      </c>
      <c r="O93" s="256">
        <v>-26</v>
      </c>
      <c r="P93" s="256">
        <v>-32</v>
      </c>
      <c r="Q93" s="256">
        <v>-33</v>
      </c>
      <c r="R93" s="148"/>
      <c r="S93" s="256">
        <v>-37</v>
      </c>
      <c r="T93" s="256">
        <v>-32</v>
      </c>
      <c r="U93" s="256">
        <v>-24</v>
      </c>
      <c r="V93" s="23"/>
    </row>
    <row r="94" spans="2:22" ht="12.75">
      <c r="B94" s="15"/>
      <c r="C94" s="29" t="s">
        <v>9</v>
      </c>
      <c r="D94" s="1078">
        <v>-16</v>
      </c>
      <c r="E94" s="804">
        <v>-12</v>
      </c>
      <c r="F94" s="804">
        <v>-12</v>
      </c>
      <c r="G94" s="804">
        <v>9</v>
      </c>
      <c r="H94" s="803"/>
      <c r="I94" s="804">
        <v>-14</v>
      </c>
      <c r="J94" s="804">
        <v>-11</v>
      </c>
      <c r="K94" s="804">
        <v>-7</v>
      </c>
      <c r="L94" s="1055">
        <v>-2</v>
      </c>
      <c r="M94" s="803"/>
      <c r="N94" s="256">
        <v>-14</v>
      </c>
      <c r="O94" s="256">
        <v>-11</v>
      </c>
      <c r="P94" s="256">
        <v>-8</v>
      </c>
      <c r="Q94" s="256">
        <v>-8</v>
      </c>
      <c r="R94" s="148"/>
      <c r="S94" s="256">
        <v>-9</v>
      </c>
      <c r="T94" s="256">
        <v>-7</v>
      </c>
      <c r="U94" s="256">
        <v>-12</v>
      </c>
      <c r="V94" s="23"/>
    </row>
    <row r="95" spans="2:22" ht="12.75">
      <c r="B95" s="15"/>
      <c r="C95" s="28" t="s">
        <v>338</v>
      </c>
      <c r="D95" s="991">
        <v>8</v>
      </c>
      <c r="E95" s="254">
        <v>23</v>
      </c>
      <c r="F95" s="254">
        <v>24</v>
      </c>
      <c r="G95" s="254">
        <v>11</v>
      </c>
      <c r="H95" s="254"/>
      <c r="I95" s="254">
        <v>28</v>
      </c>
      <c r="J95" s="254">
        <v>24</v>
      </c>
      <c r="K95" s="254">
        <v>31</v>
      </c>
      <c r="L95" s="998">
        <v>30</v>
      </c>
      <c r="M95" s="254"/>
      <c r="N95" s="254">
        <v>29</v>
      </c>
      <c r="O95" s="254">
        <v>24</v>
      </c>
      <c r="P95" s="254">
        <v>32</v>
      </c>
      <c r="Q95" s="254">
        <v>27</v>
      </c>
      <c r="R95" s="148"/>
      <c r="S95" s="254">
        <v>19</v>
      </c>
      <c r="T95" s="254">
        <v>-5</v>
      </c>
      <c r="U95" s="254">
        <v>4</v>
      </c>
      <c r="V95" s="23"/>
    </row>
    <row r="96" spans="2:22" ht="12.75">
      <c r="B96" s="15"/>
      <c r="C96" s="56" t="s">
        <v>10</v>
      </c>
      <c r="D96" s="1056">
        <v>1913</v>
      </c>
      <c r="E96" s="805">
        <v>1862</v>
      </c>
      <c r="F96" s="805">
        <v>1848</v>
      </c>
      <c r="G96" s="805">
        <v>1941</v>
      </c>
      <c r="H96" s="805"/>
      <c r="I96" s="805">
        <v>1790</v>
      </c>
      <c r="J96" s="805">
        <v>1785</v>
      </c>
      <c r="K96" s="805">
        <v>1705</v>
      </c>
      <c r="L96" s="1057">
        <v>1271</v>
      </c>
      <c r="M96" s="805"/>
      <c r="N96" s="212">
        <v>1807</v>
      </c>
      <c r="O96" s="212">
        <v>1789</v>
      </c>
      <c r="P96" s="212">
        <v>1731</v>
      </c>
      <c r="Q96" s="212">
        <v>1237</v>
      </c>
      <c r="R96" s="148"/>
      <c r="S96" s="212">
        <v>1515</v>
      </c>
      <c r="T96" s="212">
        <v>1393</v>
      </c>
      <c r="U96" s="875">
        <f>+U90+U91+U92+U93+U94+U95</f>
        <v>1606</v>
      </c>
      <c r="V96" s="23"/>
    </row>
    <row r="97" spans="2:22" ht="12.75">
      <c r="B97" s="15"/>
      <c r="C97" s="29"/>
      <c r="D97" s="1018"/>
      <c r="E97" s="209"/>
      <c r="F97" s="209"/>
      <c r="G97" s="209"/>
      <c r="H97" s="209"/>
      <c r="I97" s="350"/>
      <c r="J97" s="224"/>
      <c r="K97" s="365"/>
      <c r="L97" s="1088"/>
      <c r="M97" s="365"/>
      <c r="N97" s="336"/>
      <c r="O97" s="224"/>
      <c r="P97" s="224"/>
      <c r="Q97" s="224"/>
      <c r="R97" s="148"/>
      <c r="S97" s="224"/>
      <c r="T97" s="224"/>
      <c r="U97" s="224"/>
      <c r="V97" s="23"/>
    </row>
    <row r="98" spans="2:22" ht="12.75">
      <c r="B98" s="15"/>
      <c r="C98" s="57" t="s">
        <v>315</v>
      </c>
      <c r="D98" s="1089"/>
      <c r="E98" s="364"/>
      <c r="F98" s="364"/>
      <c r="G98" s="364"/>
      <c r="H98" s="357"/>
      <c r="I98" s="364"/>
      <c r="J98" s="344"/>
      <c r="K98" s="366"/>
      <c r="L98" s="1090"/>
      <c r="M98" s="366"/>
      <c r="N98" s="878"/>
      <c r="O98" s="344"/>
      <c r="P98" s="344"/>
      <c r="Q98" s="344"/>
      <c r="R98" s="314"/>
      <c r="S98" s="344"/>
      <c r="T98" s="344"/>
      <c r="U98" s="344"/>
      <c r="V98" s="23"/>
    </row>
    <row r="99" spans="2:22" ht="12.75">
      <c r="B99" s="15"/>
      <c r="C99" s="29" t="s">
        <v>7</v>
      </c>
      <c r="D99" s="1091">
        <v>0.3217405113546133</v>
      </c>
      <c r="E99" s="810">
        <v>0.298936170212766</v>
      </c>
      <c r="F99" s="810">
        <v>0.2946738102741885</v>
      </c>
      <c r="G99" s="810">
        <v>0.2892410850350503</v>
      </c>
      <c r="H99" s="810"/>
      <c r="I99" s="213">
        <v>0.30221334664669663</v>
      </c>
      <c r="J99" s="213">
        <v>0.28576057022517415</v>
      </c>
      <c r="K99" s="213">
        <v>0.2941275734053324</v>
      </c>
      <c r="L99" s="1003">
        <v>0.19289921465968587</v>
      </c>
      <c r="M99" s="797"/>
      <c r="N99" s="213">
        <v>0.2962223331669163</v>
      </c>
      <c r="O99" s="213">
        <v>0.2784707597602462</v>
      </c>
      <c r="P99" s="213">
        <v>0.29142760715491056</v>
      </c>
      <c r="Q99" s="213">
        <v>0.18193717277486912</v>
      </c>
      <c r="R99" s="213"/>
      <c r="S99" s="213">
        <v>0.27638369816693364</v>
      </c>
      <c r="T99" s="213">
        <v>0.2458196862609895</v>
      </c>
      <c r="U99" s="213">
        <f>+U90/$U$6</f>
        <v>0.27171259155912103</v>
      </c>
      <c r="V99" s="23"/>
    </row>
    <row r="100" spans="2:22" ht="12.75">
      <c r="B100" s="15"/>
      <c r="C100" s="29" t="s">
        <v>8</v>
      </c>
      <c r="D100" s="1091">
        <v>-0.18627450980392157</v>
      </c>
      <c r="E100" s="810">
        <v>-0.17937219730941703</v>
      </c>
      <c r="F100" s="810">
        <v>-0.11914893617021277</v>
      </c>
      <c r="G100" s="810">
        <v>-0.07509881422924901</v>
      </c>
      <c r="H100" s="810"/>
      <c r="I100" s="797">
        <v>-0.10197368421052631</v>
      </c>
      <c r="J100" s="797">
        <v>-0.04859335038363171</v>
      </c>
      <c r="K100" s="797">
        <v>-0.012165450121654502</v>
      </c>
      <c r="L100" s="1063">
        <v>-0.022779043280182234</v>
      </c>
      <c r="M100" s="797"/>
      <c r="N100" s="213">
        <v>0.10185185185185185</v>
      </c>
      <c r="O100" s="213">
        <v>0.10135135135135136</v>
      </c>
      <c r="P100" s="213">
        <v>0.11858974358974358</v>
      </c>
      <c r="Q100" s="213">
        <v>0.10091743119266056</v>
      </c>
      <c r="R100" s="213"/>
      <c r="S100" s="213">
        <v>0.018575851393188854</v>
      </c>
      <c r="T100" s="213">
        <v>-0.012539184952978056</v>
      </c>
      <c r="U100" s="213">
        <f>+U91/$U$9</f>
        <v>0.0219435736677116</v>
      </c>
      <c r="V100" s="23"/>
    </row>
    <row r="101" spans="2:22" ht="12.75">
      <c r="B101" s="15"/>
      <c r="C101" s="29" t="s">
        <v>31</v>
      </c>
      <c r="D101" s="1091">
        <v>-0.03225806451612903</v>
      </c>
      <c r="E101" s="810">
        <v>-0.04745762711864407</v>
      </c>
      <c r="F101" s="810">
        <v>0.024299065420560748</v>
      </c>
      <c r="G101" s="810">
        <v>0.05802047781569966</v>
      </c>
      <c r="H101" s="810"/>
      <c r="I101" s="797">
        <v>0.014545454545454545</v>
      </c>
      <c r="J101" s="797">
        <v>0.04337152209492635</v>
      </c>
      <c r="K101" s="797">
        <v>-0.0195160031225605</v>
      </c>
      <c r="L101" s="1063">
        <v>0.07642393655371305</v>
      </c>
      <c r="M101" s="797"/>
      <c r="N101" s="213">
        <v>0.014545454545454545</v>
      </c>
      <c r="O101" s="213">
        <v>0.04337152209492635</v>
      </c>
      <c r="P101" s="213">
        <v>-0.0195160031225605</v>
      </c>
      <c r="Q101" s="213">
        <v>0.07642393655371305</v>
      </c>
      <c r="R101" s="213"/>
      <c r="S101" s="213">
        <v>-0.013888888888888888</v>
      </c>
      <c r="T101" s="213">
        <v>0.011424219345011425</v>
      </c>
      <c r="U101" s="213">
        <f>+U92/$U$10</f>
        <v>0.05083565459610028</v>
      </c>
      <c r="V101" s="23"/>
    </row>
    <row r="102" spans="2:22" ht="12.75">
      <c r="B102" s="15"/>
      <c r="C102" s="29" t="s">
        <v>89</v>
      </c>
      <c r="D102" s="1091">
        <v>-0.9090909090909091</v>
      </c>
      <c r="E102" s="810">
        <v>-0.6296296296296297</v>
      </c>
      <c r="F102" s="810">
        <v>-0.8421052631578947</v>
      </c>
      <c r="G102" s="810">
        <v>-0.36619718309859156</v>
      </c>
      <c r="H102" s="810"/>
      <c r="I102" s="797">
        <v>-0.43103448275862066</v>
      </c>
      <c r="J102" s="797">
        <v>-0.3880597014925373</v>
      </c>
      <c r="K102" s="797">
        <v>-0.6037735849056604</v>
      </c>
      <c r="L102" s="1063">
        <v>-0.3764705882352941</v>
      </c>
      <c r="M102" s="797"/>
      <c r="N102" s="213">
        <v>-0.4482758620689655</v>
      </c>
      <c r="O102" s="213">
        <v>-0.3880597014925373</v>
      </c>
      <c r="P102" s="213">
        <v>-0.6037735849056604</v>
      </c>
      <c r="Q102" s="213">
        <v>-0.38823529411764707</v>
      </c>
      <c r="R102" s="213"/>
      <c r="S102" s="213">
        <v>-0.5</v>
      </c>
      <c r="T102" s="213">
        <v>-0.43243243243243246</v>
      </c>
      <c r="U102" s="213">
        <f>+U93/$U$11</f>
        <v>-0.3870967741935484</v>
      </c>
      <c r="V102" s="23"/>
    </row>
    <row r="103" spans="2:22" ht="12.75">
      <c r="B103" s="15"/>
      <c r="C103" s="29" t="s">
        <v>9</v>
      </c>
      <c r="D103" s="1091">
        <v>-0.1702127659574468</v>
      </c>
      <c r="E103" s="810">
        <v>-0.1016949152542373</v>
      </c>
      <c r="F103" s="810">
        <v>-0.13953488372093023</v>
      </c>
      <c r="G103" s="810">
        <v>0.06338028169014084</v>
      </c>
      <c r="H103" s="810"/>
      <c r="I103" s="797">
        <v>-0.1686746987951807</v>
      </c>
      <c r="J103" s="797">
        <v>-0.10091743119266056</v>
      </c>
      <c r="K103" s="797">
        <v>-0.07692307692307693</v>
      </c>
      <c r="L103" s="1063">
        <v>-0.016</v>
      </c>
      <c r="M103" s="797"/>
      <c r="N103" s="213">
        <v>-0.1686746987951807</v>
      </c>
      <c r="O103" s="213">
        <v>-0.10091743119266056</v>
      </c>
      <c r="P103" s="213">
        <v>-0.08791208791208792</v>
      </c>
      <c r="Q103" s="213">
        <v>-0.064</v>
      </c>
      <c r="R103" s="213"/>
      <c r="S103" s="213">
        <v>-0.10843373493975904</v>
      </c>
      <c r="T103" s="213">
        <v>-0.07216494845360824</v>
      </c>
      <c r="U103" s="213">
        <f>+U94/$U$12</f>
        <v>-0.16666666666666666</v>
      </c>
      <c r="V103" s="23"/>
    </row>
    <row r="104" spans="2:22" ht="12.75">
      <c r="B104" s="15"/>
      <c r="C104" s="56" t="s">
        <v>10</v>
      </c>
      <c r="D104" s="1092">
        <v>0.2556802993851911</v>
      </c>
      <c r="E104" s="799">
        <v>0.2371068381510251</v>
      </c>
      <c r="F104" s="799">
        <v>0.2378684515381645</v>
      </c>
      <c r="G104" s="799">
        <v>0.2375474238159344</v>
      </c>
      <c r="H104" s="799"/>
      <c r="I104" s="798">
        <v>0.23740053050397877</v>
      </c>
      <c r="J104" s="798">
        <v>0.22509457755359394</v>
      </c>
      <c r="K104" s="798">
        <v>0.22036965232002068</v>
      </c>
      <c r="L104" s="1065">
        <v>0.1572435976741309</v>
      </c>
      <c r="M104" s="799"/>
      <c r="N104" s="223">
        <v>0.2417391304347826</v>
      </c>
      <c r="O104" s="223">
        <v>0.22755024166878657</v>
      </c>
      <c r="P104" s="223">
        <v>0.22577279248728316</v>
      </c>
      <c r="Q104" s="223">
        <v>0.1544512423523536</v>
      </c>
      <c r="R104" s="223"/>
      <c r="S104" s="223">
        <v>0.2075911208550288</v>
      </c>
      <c r="T104" s="223">
        <v>0.1847480106100796</v>
      </c>
      <c r="U104" s="223">
        <f>+U96/$U$14</f>
        <v>0.2124057664330115</v>
      </c>
      <c r="V104" s="23"/>
    </row>
    <row r="105" spans="2:22" ht="12.75">
      <c r="B105" s="15"/>
      <c r="C105" s="29"/>
      <c r="D105" s="984"/>
      <c r="E105" s="252"/>
      <c r="F105" s="252"/>
      <c r="G105" s="252"/>
      <c r="H105" s="252"/>
      <c r="I105" s="312"/>
      <c r="J105" s="224"/>
      <c r="K105" s="365"/>
      <c r="L105" s="1088"/>
      <c r="M105" s="365"/>
      <c r="N105" s="317"/>
      <c r="O105" s="224"/>
      <c r="P105" s="224"/>
      <c r="Q105" s="224"/>
      <c r="R105" s="148"/>
      <c r="S105" s="224"/>
      <c r="T105" s="224"/>
      <c r="U105" s="224"/>
      <c r="V105" s="23"/>
    </row>
    <row r="106" spans="2:22" ht="12.75">
      <c r="B106" s="15"/>
      <c r="C106" s="59" t="s">
        <v>127</v>
      </c>
      <c r="D106" s="1020"/>
      <c r="E106" s="321"/>
      <c r="F106" s="321"/>
      <c r="G106" s="321"/>
      <c r="H106" s="321"/>
      <c r="I106" s="321"/>
      <c r="J106" s="345"/>
      <c r="K106" s="367"/>
      <c r="L106" s="1093"/>
      <c r="M106" s="367"/>
      <c r="N106" s="321"/>
      <c r="O106" s="345"/>
      <c r="P106" s="345"/>
      <c r="Q106" s="952"/>
      <c r="R106" s="314"/>
      <c r="S106" s="952"/>
      <c r="T106" s="952"/>
      <c r="U106" s="952"/>
      <c r="V106" s="23"/>
    </row>
    <row r="107" spans="2:22" ht="12.75">
      <c r="B107" s="15"/>
      <c r="C107" s="55" t="s">
        <v>7</v>
      </c>
      <c r="D107" s="1094">
        <v>850</v>
      </c>
      <c r="E107" s="225">
        <v>943</v>
      </c>
      <c r="F107" s="225">
        <v>822</v>
      </c>
      <c r="G107" s="225">
        <v>1279</v>
      </c>
      <c r="H107" s="881"/>
      <c r="I107" s="225">
        <v>867</v>
      </c>
      <c r="J107" s="225">
        <v>1028</v>
      </c>
      <c r="K107" s="225">
        <v>922</v>
      </c>
      <c r="L107" s="1095">
        <v>1247</v>
      </c>
      <c r="M107" s="881"/>
      <c r="N107" s="881">
        <v>867</v>
      </c>
      <c r="O107" s="881">
        <v>1028</v>
      </c>
      <c r="P107" s="881">
        <v>922</v>
      </c>
      <c r="Q107" s="881">
        <v>1247</v>
      </c>
      <c r="R107" s="148"/>
      <c r="S107" s="881">
        <v>970</v>
      </c>
      <c r="T107" s="881">
        <v>982</v>
      </c>
      <c r="U107" s="881">
        <v>694</v>
      </c>
      <c r="V107" s="23"/>
    </row>
    <row r="108" spans="2:22" ht="12.75">
      <c r="B108" s="15"/>
      <c r="C108" s="29" t="s">
        <v>8</v>
      </c>
      <c r="D108" s="1096">
        <v>95</v>
      </c>
      <c r="E108" s="227">
        <v>133</v>
      </c>
      <c r="F108" s="227">
        <v>116</v>
      </c>
      <c r="G108" s="227">
        <v>123</v>
      </c>
      <c r="H108" s="229"/>
      <c r="I108" s="227">
        <v>142</v>
      </c>
      <c r="J108" s="227">
        <v>110</v>
      </c>
      <c r="K108" s="227">
        <v>111</v>
      </c>
      <c r="L108" s="1097">
        <v>145</v>
      </c>
      <c r="M108" s="229"/>
      <c r="N108" s="229">
        <v>110</v>
      </c>
      <c r="O108" s="229">
        <v>80</v>
      </c>
      <c r="P108" s="229">
        <v>79</v>
      </c>
      <c r="Q108" s="229">
        <v>89</v>
      </c>
      <c r="R108" s="148">
        <v>100</v>
      </c>
      <c r="S108" s="229">
        <v>100</v>
      </c>
      <c r="T108" s="229">
        <v>89</v>
      </c>
      <c r="U108" s="229">
        <v>64</v>
      </c>
      <c r="V108" s="23"/>
    </row>
    <row r="109" spans="2:22" ht="12.75">
      <c r="B109" s="15"/>
      <c r="C109" s="29" t="s">
        <v>31</v>
      </c>
      <c r="D109" s="1096">
        <v>63</v>
      </c>
      <c r="E109" s="227">
        <v>130</v>
      </c>
      <c r="F109" s="227">
        <v>136</v>
      </c>
      <c r="G109" s="227">
        <v>370</v>
      </c>
      <c r="H109" s="229"/>
      <c r="I109" s="227">
        <v>116</v>
      </c>
      <c r="J109" s="227">
        <v>155</v>
      </c>
      <c r="K109" s="227">
        <v>171</v>
      </c>
      <c r="L109" s="1097">
        <v>423</v>
      </c>
      <c r="M109" s="229"/>
      <c r="N109" s="229">
        <v>116</v>
      </c>
      <c r="O109" s="229">
        <v>155</v>
      </c>
      <c r="P109" s="229">
        <v>171</v>
      </c>
      <c r="Q109" s="229">
        <v>423</v>
      </c>
      <c r="R109" s="148"/>
      <c r="S109" s="229">
        <v>139</v>
      </c>
      <c r="T109" s="229">
        <v>685</v>
      </c>
      <c r="U109" s="229">
        <v>249</v>
      </c>
      <c r="V109" s="23"/>
    </row>
    <row r="110" spans="2:22" ht="12.75">
      <c r="B110" s="15"/>
      <c r="C110" s="29" t="s">
        <v>89</v>
      </c>
      <c r="D110" s="1096">
        <v>45</v>
      </c>
      <c r="E110" s="227">
        <v>14</v>
      </c>
      <c r="F110" s="227">
        <v>6</v>
      </c>
      <c r="G110" s="227">
        <v>20</v>
      </c>
      <c r="H110" s="229"/>
      <c r="I110" s="227">
        <v>30</v>
      </c>
      <c r="J110" s="227">
        <v>16</v>
      </c>
      <c r="K110" s="227">
        <v>8</v>
      </c>
      <c r="L110" s="1097">
        <v>15</v>
      </c>
      <c r="M110" s="229"/>
      <c r="N110" s="229">
        <v>30</v>
      </c>
      <c r="O110" s="229">
        <v>16</v>
      </c>
      <c r="P110" s="229">
        <v>8</v>
      </c>
      <c r="Q110" s="229">
        <v>15</v>
      </c>
      <c r="R110" s="148"/>
      <c r="S110" s="229">
        <v>18</v>
      </c>
      <c r="T110" s="229">
        <v>9</v>
      </c>
      <c r="U110" s="229">
        <v>7</v>
      </c>
      <c r="V110" s="23"/>
    </row>
    <row r="111" spans="2:22" ht="12.75">
      <c r="B111" s="15"/>
      <c r="C111" s="29" t="s">
        <v>9</v>
      </c>
      <c r="D111" s="1096">
        <v>2</v>
      </c>
      <c r="E111" s="227">
        <v>3</v>
      </c>
      <c r="F111" s="227">
        <v>1</v>
      </c>
      <c r="G111" s="227">
        <v>4</v>
      </c>
      <c r="H111" s="229"/>
      <c r="I111" s="227">
        <v>2</v>
      </c>
      <c r="J111" s="227">
        <v>3</v>
      </c>
      <c r="K111" s="227">
        <v>2</v>
      </c>
      <c r="L111" s="1097">
        <v>1</v>
      </c>
      <c r="M111" s="229"/>
      <c r="N111" s="229">
        <v>2</v>
      </c>
      <c r="O111" s="229">
        <v>3</v>
      </c>
      <c r="P111" s="229">
        <v>2</v>
      </c>
      <c r="Q111" s="229">
        <v>1</v>
      </c>
      <c r="R111" s="148"/>
      <c r="S111" s="229">
        <v>1</v>
      </c>
      <c r="T111" s="229">
        <v>0</v>
      </c>
      <c r="U111" s="229">
        <v>1</v>
      </c>
      <c r="V111" s="23"/>
    </row>
    <row r="112" spans="2:22" ht="12.75">
      <c r="B112" s="15"/>
      <c r="C112" s="28" t="s">
        <v>338</v>
      </c>
      <c r="D112" s="991">
        <v>-30</v>
      </c>
      <c r="E112" s="254">
        <v>-32</v>
      </c>
      <c r="F112" s="254">
        <v>2</v>
      </c>
      <c r="G112" s="254">
        <v>19</v>
      </c>
      <c r="H112" s="254"/>
      <c r="I112" s="254">
        <v>3</v>
      </c>
      <c r="J112" s="254">
        <v>2</v>
      </c>
      <c r="K112" s="254">
        <v>0</v>
      </c>
      <c r="L112" s="998">
        <v>1</v>
      </c>
      <c r="M112" s="254"/>
      <c r="N112" s="254">
        <v>3</v>
      </c>
      <c r="O112" s="254">
        <v>2</v>
      </c>
      <c r="P112" s="254">
        <v>1</v>
      </c>
      <c r="Q112" s="254">
        <v>0</v>
      </c>
      <c r="R112" s="148"/>
      <c r="S112" s="254">
        <v>0</v>
      </c>
      <c r="T112" s="254">
        <v>-37</v>
      </c>
      <c r="U112" s="254">
        <v>-4</v>
      </c>
      <c r="V112" s="23"/>
    </row>
    <row r="113" spans="2:22" ht="12.75">
      <c r="B113" s="15"/>
      <c r="C113" s="56" t="s">
        <v>10</v>
      </c>
      <c r="D113" s="1018">
        <v>1025</v>
      </c>
      <c r="E113" s="209">
        <v>1191</v>
      </c>
      <c r="F113" s="209">
        <v>1083</v>
      </c>
      <c r="G113" s="209">
        <v>1815</v>
      </c>
      <c r="H113" s="209"/>
      <c r="I113" s="230">
        <v>1160</v>
      </c>
      <c r="J113" s="231">
        <v>1314</v>
      </c>
      <c r="K113" s="231">
        <v>1214</v>
      </c>
      <c r="L113" s="1098">
        <v>1832</v>
      </c>
      <c r="M113" s="882"/>
      <c r="N113" s="876">
        <v>1128</v>
      </c>
      <c r="O113" s="882">
        <v>1284</v>
      </c>
      <c r="P113" s="882">
        <v>1183</v>
      </c>
      <c r="Q113" s="882">
        <v>1775</v>
      </c>
      <c r="R113" s="148"/>
      <c r="S113" s="882">
        <v>1228</v>
      </c>
      <c r="T113" s="882">
        <v>1728</v>
      </c>
      <c r="U113" s="875">
        <f>+U107+U108+U109+U110+U111+U112</f>
        <v>1011</v>
      </c>
      <c r="V113" s="23"/>
    </row>
    <row r="114" spans="2:22" ht="12.75">
      <c r="B114" s="15"/>
      <c r="C114" s="60"/>
      <c r="D114" s="1040"/>
      <c r="E114" s="346"/>
      <c r="F114" s="346"/>
      <c r="G114" s="346"/>
      <c r="H114" s="346"/>
      <c r="I114" s="346"/>
      <c r="J114" s="345"/>
      <c r="K114" s="367"/>
      <c r="L114" s="1093"/>
      <c r="M114" s="367"/>
      <c r="N114" s="346"/>
      <c r="O114" s="345"/>
      <c r="P114" s="345"/>
      <c r="Q114" s="345"/>
      <c r="R114" s="148"/>
      <c r="S114" s="345"/>
      <c r="T114" s="345"/>
      <c r="U114" s="345"/>
      <c r="V114" s="23"/>
    </row>
    <row r="115" spans="2:22" ht="12.75">
      <c r="B115" s="15"/>
      <c r="C115" s="59" t="s">
        <v>128</v>
      </c>
      <c r="D115" s="1041"/>
      <c r="E115" s="321"/>
      <c r="F115" s="321"/>
      <c r="G115" s="321"/>
      <c r="H115" s="321"/>
      <c r="I115" s="347"/>
      <c r="J115" s="348"/>
      <c r="K115" s="368"/>
      <c r="L115" s="1099"/>
      <c r="M115" s="368"/>
      <c r="N115" s="347"/>
      <c r="O115" s="348"/>
      <c r="P115" s="348"/>
      <c r="Q115" s="348"/>
      <c r="R115" s="314"/>
      <c r="S115" s="348"/>
      <c r="T115" s="348"/>
      <c r="U115" s="348"/>
      <c r="V115" s="23"/>
    </row>
    <row r="116" spans="2:24" ht="12.75">
      <c r="B116" s="15"/>
      <c r="C116" s="29" t="s">
        <v>7</v>
      </c>
      <c r="D116" s="1022">
        <v>0.13498491345084962</v>
      </c>
      <c r="E116" s="213">
        <v>0.1433130699088146</v>
      </c>
      <c r="F116" s="213">
        <v>0.12953041285849354</v>
      </c>
      <c r="G116" s="213">
        <v>0.19491008838768667</v>
      </c>
      <c r="H116" s="213"/>
      <c r="I116" s="213">
        <v>0.14428357463804292</v>
      </c>
      <c r="J116" s="213">
        <v>0.1665316701765754</v>
      </c>
      <c r="K116" s="213">
        <v>0.15558555518056025</v>
      </c>
      <c r="L116" s="1003">
        <v>0.20402486910994763</v>
      </c>
      <c r="M116" s="213"/>
      <c r="N116" s="213">
        <v>0.14428357463804292</v>
      </c>
      <c r="O116" s="213">
        <v>0.1665316701765754</v>
      </c>
      <c r="P116" s="213">
        <v>0.15558555518056025</v>
      </c>
      <c r="Q116" s="213">
        <v>0.20402486910994763</v>
      </c>
      <c r="R116" s="213"/>
      <c r="S116" s="213">
        <v>0.17262858159814914</v>
      </c>
      <c r="T116" s="213">
        <v>0.1692811584209619</v>
      </c>
      <c r="U116" s="213">
        <f>+U107/$U$6</f>
        <v>0.12103243808859435</v>
      </c>
      <c r="V116" s="33"/>
      <c r="X116" s="1214"/>
    </row>
    <row r="117" spans="2:24" ht="12.75">
      <c r="B117" s="15"/>
      <c r="C117" s="29" t="s">
        <v>8</v>
      </c>
      <c r="D117" s="1100">
        <v>0.46568627450980393</v>
      </c>
      <c r="E117" s="1101">
        <v>0.5964125560538116</v>
      </c>
      <c r="F117" s="1101">
        <v>0.49361702127659574</v>
      </c>
      <c r="G117" s="1101">
        <v>0.48616600790513836</v>
      </c>
      <c r="H117" s="213"/>
      <c r="I117" s="797">
        <v>0.46710526315789475</v>
      </c>
      <c r="J117" s="797">
        <v>0.2813299232736573</v>
      </c>
      <c r="K117" s="797">
        <v>0.27007299270072993</v>
      </c>
      <c r="L117" s="1063">
        <v>0.33029612756264237</v>
      </c>
      <c r="M117" s="213"/>
      <c r="N117" s="213">
        <v>0.5092592592592593</v>
      </c>
      <c r="O117" s="213">
        <v>0.2702702702702703</v>
      </c>
      <c r="P117" s="213">
        <v>0.2532051282051282</v>
      </c>
      <c r="Q117" s="213">
        <v>0.27217125382262997</v>
      </c>
      <c r="R117" s="213"/>
      <c r="S117" s="213">
        <v>0.30959752321981426</v>
      </c>
      <c r="T117" s="213">
        <v>0.27899686520376177</v>
      </c>
      <c r="U117" s="213">
        <f>+U108/$U$9</f>
        <v>0.2006269592476489</v>
      </c>
      <c r="V117" s="33"/>
      <c r="X117" s="1214"/>
    </row>
    <row r="118" spans="2:24" ht="12.75">
      <c r="B118" s="15"/>
      <c r="C118" s="29" t="s">
        <v>31</v>
      </c>
      <c r="D118" s="1100">
        <v>0.07526881720430108</v>
      </c>
      <c r="E118" s="1101">
        <v>0.14689265536723164</v>
      </c>
      <c r="F118" s="1101">
        <v>0.12710280373831775</v>
      </c>
      <c r="G118" s="1101">
        <v>0.31569965870307165</v>
      </c>
      <c r="H118" s="213"/>
      <c r="I118" s="797">
        <v>0.10545454545454545</v>
      </c>
      <c r="J118" s="797">
        <v>0.12684124386252046</v>
      </c>
      <c r="K118" s="797">
        <v>0.13348946135831383</v>
      </c>
      <c r="L118" s="1063">
        <v>0.3049747656813266</v>
      </c>
      <c r="M118" s="213"/>
      <c r="N118" s="213">
        <v>0.10545454545454545</v>
      </c>
      <c r="O118" s="213">
        <v>0.12684124386252046</v>
      </c>
      <c r="P118" s="213">
        <v>0.13348946135831383</v>
      </c>
      <c r="Q118" s="213">
        <v>0.3049747656813266</v>
      </c>
      <c r="R118" s="213"/>
      <c r="S118" s="213">
        <v>0.11356209150326797</v>
      </c>
      <c r="T118" s="213">
        <v>0.5217060167555218</v>
      </c>
      <c r="U118" s="213">
        <f>+U109/$U$10</f>
        <v>0.1733983286908078</v>
      </c>
      <c r="V118" s="33"/>
      <c r="X118" s="1214"/>
    </row>
    <row r="119" spans="2:25" ht="12.75">
      <c r="B119" s="15"/>
      <c r="C119" s="29" t="s">
        <v>89</v>
      </c>
      <c r="D119" s="1022">
        <v>1.0227272727272727</v>
      </c>
      <c r="E119" s="1101">
        <v>0.25925925925925924</v>
      </c>
      <c r="F119" s="1101">
        <v>0.15789473684210525</v>
      </c>
      <c r="G119" s="1101">
        <v>0.28169014084507044</v>
      </c>
      <c r="H119" s="213"/>
      <c r="I119" s="797">
        <v>0.5172413793103449</v>
      </c>
      <c r="J119" s="797">
        <v>0.23880597014925373</v>
      </c>
      <c r="K119" s="797">
        <v>0.1509433962264151</v>
      </c>
      <c r="L119" s="1063">
        <v>0.17647058823529413</v>
      </c>
      <c r="M119" s="213"/>
      <c r="N119" s="213">
        <v>0.5172413793103449</v>
      </c>
      <c r="O119" s="213">
        <v>0.23880597014925373</v>
      </c>
      <c r="P119" s="213">
        <v>0.1509433962264151</v>
      </c>
      <c r="Q119" s="213">
        <v>0.17647058823529413</v>
      </c>
      <c r="R119" s="213"/>
      <c r="S119" s="213">
        <v>0.24324324324324326</v>
      </c>
      <c r="T119" s="213">
        <v>0.12162162162162163</v>
      </c>
      <c r="U119" s="213">
        <f>+U110/$U$11</f>
        <v>0.11290322580645161</v>
      </c>
      <c r="V119" s="33"/>
      <c r="Y119" s="1214"/>
    </row>
    <row r="120" spans="2:25" ht="12.75">
      <c r="B120" s="15"/>
      <c r="C120" s="29" t="s">
        <v>9</v>
      </c>
      <c r="D120" s="1100">
        <v>0.02127659574468085</v>
      </c>
      <c r="E120" s="1101">
        <v>0.025423728813559324</v>
      </c>
      <c r="F120" s="1101">
        <v>0.011627906976744186</v>
      </c>
      <c r="G120" s="1101">
        <v>0.028169014084507043</v>
      </c>
      <c r="H120" s="213"/>
      <c r="I120" s="797">
        <v>0.024096385542168676</v>
      </c>
      <c r="J120" s="797">
        <v>0.027522935779816515</v>
      </c>
      <c r="K120" s="797">
        <v>0.02197802197802198</v>
      </c>
      <c r="L120" s="1063">
        <v>0.008</v>
      </c>
      <c r="M120" s="213"/>
      <c r="N120" s="213">
        <v>0.024096385542168676</v>
      </c>
      <c r="O120" s="213">
        <v>0.027522935779816515</v>
      </c>
      <c r="P120" s="213">
        <v>0.02197802197802198</v>
      </c>
      <c r="Q120" s="213">
        <v>0.008</v>
      </c>
      <c r="R120" s="213"/>
      <c r="S120" s="213">
        <v>0.012048192771084338</v>
      </c>
      <c r="T120" s="213">
        <v>0</v>
      </c>
      <c r="U120" s="213">
        <f>+U111/$U$12</f>
        <v>0.013888888888888888</v>
      </c>
      <c r="V120" s="33"/>
      <c r="Y120" s="1214"/>
    </row>
    <row r="121" spans="2:25" ht="12.75">
      <c r="B121" s="15"/>
      <c r="C121" s="56" t="s">
        <v>10</v>
      </c>
      <c r="D121" s="1102">
        <v>0.13699545576049185</v>
      </c>
      <c r="E121" s="1103">
        <v>0.15166178530497898</v>
      </c>
      <c r="F121" s="1103">
        <v>0.1394001802033724</v>
      </c>
      <c r="G121" s="1103">
        <v>0.22212703463468364</v>
      </c>
      <c r="H121" s="326"/>
      <c r="I121" s="1074">
        <v>0.15384615384615385</v>
      </c>
      <c r="J121" s="1074">
        <v>0.1656998738965952</v>
      </c>
      <c r="K121" s="1074">
        <v>0.1569083624143725</v>
      </c>
      <c r="L121" s="1075">
        <v>0.22664852158851911</v>
      </c>
      <c r="M121" s="223"/>
      <c r="N121" s="223">
        <v>0.1509030100334448</v>
      </c>
      <c r="O121" s="223">
        <v>0.16331722208089544</v>
      </c>
      <c r="P121" s="223">
        <v>0.15429763923307682</v>
      </c>
      <c r="Q121" s="223">
        <v>0.22162567111999001</v>
      </c>
      <c r="R121" s="223"/>
      <c r="S121" s="223">
        <v>0.16826527815839956</v>
      </c>
      <c r="T121" s="223">
        <v>0.22917771883289126</v>
      </c>
      <c r="U121" s="223">
        <f>+U113/$U$14</f>
        <v>0.13371247189525196</v>
      </c>
      <c r="V121" s="33"/>
      <c r="Y121" s="1214"/>
    </row>
    <row r="122" spans="2:22" ht="12.75">
      <c r="B122" s="15"/>
      <c r="C122" s="56"/>
      <c r="D122" s="232"/>
      <c r="E122" s="232"/>
      <c r="F122" s="232"/>
      <c r="G122" s="232"/>
      <c r="H122" s="884"/>
      <c r="I122" s="232"/>
      <c r="J122" s="232"/>
      <c r="K122" s="177"/>
      <c r="L122" s="177"/>
      <c r="M122" s="937"/>
      <c r="N122" s="884"/>
      <c r="O122" s="215"/>
      <c r="P122" s="174"/>
      <c r="Q122" s="174"/>
      <c r="R122" s="174"/>
      <c r="S122" s="173"/>
      <c r="T122" s="173"/>
      <c r="U122" s="173"/>
      <c r="V122" s="23"/>
    </row>
    <row r="123" spans="2:25" s="1214" customFormat="1" ht="12.75">
      <c r="B123" s="1208"/>
      <c r="C123" s="1209" t="s">
        <v>496</v>
      </c>
      <c r="D123" s="1210"/>
      <c r="E123" s="1210"/>
      <c r="F123" s="1210"/>
      <c r="G123" s="1210"/>
      <c r="H123" s="1210"/>
      <c r="I123" s="1210"/>
      <c r="J123" s="1211"/>
      <c r="K123" s="1211"/>
      <c r="L123" s="1211"/>
      <c r="M123" s="1212"/>
      <c r="N123" s="1210"/>
      <c r="O123" s="1211"/>
      <c r="P123" s="1211"/>
      <c r="Q123" s="1211"/>
      <c r="R123" s="1212"/>
      <c r="S123" s="1211"/>
      <c r="T123" s="1211"/>
      <c r="U123" s="1211"/>
      <c r="V123" s="1213"/>
      <c r="X123" s="3"/>
      <c r="Y123" s="3"/>
    </row>
    <row r="124" spans="2:25" s="1214" customFormat="1" ht="14.25" customHeight="1">
      <c r="B124" s="1208"/>
      <c r="C124" s="1227" t="s">
        <v>530</v>
      </c>
      <c r="D124" s="1215"/>
      <c r="E124" s="1215"/>
      <c r="F124" s="1215"/>
      <c r="G124" s="1215"/>
      <c r="H124" s="1215"/>
      <c r="I124" s="1215"/>
      <c r="J124" s="1216"/>
      <c r="K124" s="1216"/>
      <c r="L124" s="1216"/>
      <c r="M124" s="1217"/>
      <c r="N124" s="1215"/>
      <c r="O124" s="1233"/>
      <c r="P124" s="1216"/>
      <c r="Q124" s="1216"/>
      <c r="R124" s="1217"/>
      <c r="S124" s="1216"/>
      <c r="T124" s="1216"/>
      <c r="U124" s="1216"/>
      <c r="V124" s="1213"/>
      <c r="X124" s="3"/>
      <c r="Y124" s="3"/>
    </row>
    <row r="125" spans="2:25" s="1214" customFormat="1" ht="10.5" customHeight="1">
      <c r="B125" s="1219"/>
      <c r="C125" s="1228"/>
      <c r="D125" s="1221"/>
      <c r="E125" s="1221"/>
      <c r="F125" s="1221"/>
      <c r="G125" s="1222"/>
      <c r="H125" s="1223"/>
      <c r="I125" s="1224"/>
      <c r="J125" s="1225"/>
      <c r="K125" s="1225"/>
      <c r="L125" s="1225"/>
      <c r="M125" s="1225"/>
      <c r="N125" s="1224"/>
      <c r="O125" s="1225"/>
      <c r="P125" s="1225"/>
      <c r="Q125" s="1225"/>
      <c r="R125" s="1225"/>
      <c r="S125" s="1225"/>
      <c r="T125" s="1225"/>
      <c r="U125" s="1225"/>
      <c r="V125" s="1226"/>
      <c r="X125" s="3"/>
      <c r="Y125" s="3"/>
    </row>
  </sheetData>
  <sheetProtection password="DAD6" sheet="1" formatCells="0" formatColumns="0" formatRows="0" insertColumns="0" insertRows="0" insertHyperlinks="0" deleteColumns="0" deleteRows="0" sort="0" autoFilter="0" pivotTables="0"/>
  <mergeCells count="3">
    <mergeCell ref="D4:L4"/>
    <mergeCell ref="N4:S4"/>
    <mergeCell ref="N69:S69"/>
  </mergeCells>
  <hyperlinks>
    <hyperlink ref="C16" location="'Rep&amp;org. fig. YTD'!G6" display="Exceptional items (aka &quot;other non organic items&quot;)"/>
    <hyperlink ref="C87" location="'Rep&amp;org. fig. YTD'!G6" display="Exceptional items (aka &quot;other non organic items&quot;)"/>
    <hyperlink ref="C46" location="'Rep&amp;org. fig. YTD'!G6" display="Exceptional items (aka &quot;other non organic items&quot;)"/>
    <hyperlink ref="X10" location="'Domestic Business Results'!A1" display="Domestic Business Results"/>
    <hyperlink ref="X11" location="'Domestic Wireline Results'!A1" display="Domestic Wireline Results"/>
    <hyperlink ref="X12" location="'Domestic Mobile Results'!A1" display="Domestic Mobile Results"/>
    <hyperlink ref="X13" location="'TIM Brasil Results'!A1" display="TIM Brasil Results"/>
    <hyperlink ref="X14" location="'European BroadBand'!A1" display="European BroadBand"/>
    <hyperlink ref="X18" location="'Main Group''s Subsidiries'!A1" display="Main Group's Subsidiaries"/>
    <hyperlink ref="X7" location="'Key fin data by BU YTD'!A1" display="Key Financial data by BU YTD"/>
    <hyperlink ref="X19" location="'Analyst Tools'!A1" display="Analyst Tools"/>
    <hyperlink ref="X20" location="'Historic Data'!A1" display="Historic Data"/>
    <hyperlink ref="X6" location="'P&amp;L Group by quarter'!A1" display="P&amp;L Group by quarter"/>
    <hyperlink ref="X5" location="'P&amp;L Group YTD'!A1" display="P&amp;L Group YTD"/>
    <hyperlink ref="X8" location="'Balance Sheet'!A1" display="Balance Sheet"/>
    <hyperlink ref="X9" location="'Cashflow Statement'!A1" display="Cashflow Statement"/>
    <hyperlink ref="X15" location="'1Q Rep&amp;org.'!A1" display="Repoerted &amp; Organic figures"/>
    <hyperlink ref="X16" location="'2Q Rep&amp;org.'!A1" display="Reported &amp; Organic figures 2Q08 vs 2Q07"/>
    <hyperlink ref="X17" location="'3Q Rep&amp;org.'!A1" display="Reported &amp; Organic figures 3Q08 vs 3Q07"/>
    <hyperlink ref="X21" location="Cover!A1" display="Cover"/>
  </hyperlinks>
  <printOptions horizontalCentered="1" verticalCentered="1"/>
  <pageMargins left="0" right="0" top="0" bottom="0" header="0.5118110236220472" footer="0.31496062992125984"/>
  <pageSetup fitToHeight="2" horizontalDpi="600" verticalDpi="600" orientation="landscape" paperSize="9" scale="59" r:id="rId3"/>
  <rowBreaks count="1" manualBreakCount="1">
    <brk id="67" min="1" max="20" man="1"/>
  </rowBreaks>
  <drawing r:id="rId1"/>
  <legacyDrawingHF r:id="rId2"/>
</worksheet>
</file>

<file path=xl/worksheets/sheet6.xml><?xml version="1.0" encoding="utf-8"?>
<worksheet xmlns="http://schemas.openxmlformats.org/spreadsheetml/2006/main" xmlns:r="http://schemas.openxmlformats.org/officeDocument/2006/relationships">
  <sheetPr codeName="Foglio15">
    <pageSetUpPr fitToPage="1"/>
  </sheetPr>
  <dimension ref="B1:U82"/>
  <sheetViews>
    <sheetView showGridLines="0" zoomScaleSheetLayoutView="100" workbookViewId="0" topLeftCell="A1">
      <selection activeCell="C3" sqref="C3"/>
    </sheetView>
  </sheetViews>
  <sheetFormatPr defaultColWidth="9.140625" defaultRowHeight="12.75"/>
  <cols>
    <col min="1" max="2" width="2.28125" style="689" customWidth="1"/>
    <col min="3" max="3" width="53.140625" style="690" customWidth="1"/>
    <col min="4" max="5" width="14.7109375" style="699" hidden="1" customWidth="1"/>
    <col min="6" max="6" width="14.7109375" style="692" hidden="1" customWidth="1"/>
    <col min="7" max="7" width="1.57421875" style="938" hidden="1" customWidth="1"/>
    <col min="8" max="10" width="14.7109375" style="692" hidden="1" customWidth="1"/>
    <col min="11" max="11" width="15.00390625" style="692" hidden="1" customWidth="1"/>
    <col min="12" max="12" width="0.9921875" style="692" customWidth="1"/>
    <col min="13" max="13" width="14.7109375" style="692" customWidth="1"/>
    <col min="14" max="14" width="1.57421875" style="938" customWidth="1"/>
    <col min="15" max="15" width="14.7109375" style="692" customWidth="1"/>
    <col min="16" max="17" width="11.57421875" style="692" customWidth="1"/>
    <col min="18" max="18" width="2.00390625" style="689" customWidth="1"/>
    <col min="19" max="19" width="3.00390625" style="689" customWidth="1"/>
    <col min="20" max="20" width="33.00390625" style="689" customWidth="1"/>
    <col min="21" max="16384" width="9.140625" style="689" customWidth="1"/>
  </cols>
  <sheetData>
    <row r="1" spans="4:5" ht="13.5">
      <c r="D1" s="691"/>
      <c r="E1" s="691"/>
    </row>
    <row r="2" spans="2:20" s="690" customFormat="1" ht="9.75" customHeight="1">
      <c r="B2" s="701"/>
      <c r="C2" s="1140"/>
      <c r="D2" s="1140"/>
      <c r="E2" s="1140"/>
      <c r="F2" s="1140"/>
      <c r="G2" s="1140"/>
      <c r="H2" s="1140"/>
      <c r="I2" s="1140"/>
      <c r="J2" s="1140"/>
      <c r="K2" s="794"/>
      <c r="L2" s="794"/>
      <c r="M2" s="794"/>
      <c r="N2" s="794"/>
      <c r="O2" s="794"/>
      <c r="P2" s="794"/>
      <c r="Q2" s="794"/>
      <c r="R2" s="702"/>
      <c r="T2" s="1244"/>
    </row>
    <row r="3" spans="2:20" s="690" customFormat="1" ht="31.5" customHeight="1">
      <c r="B3" s="703"/>
      <c r="C3" s="13"/>
      <c r="D3" s="13"/>
      <c r="E3" s="13"/>
      <c r="F3" s="13"/>
      <c r="G3" s="13"/>
      <c r="H3" s="13"/>
      <c r="I3" s="13"/>
      <c r="J3" s="13"/>
      <c r="K3" s="367"/>
      <c r="L3" s="367"/>
      <c r="M3" s="367"/>
      <c r="N3" s="367"/>
      <c r="O3" s="367"/>
      <c r="P3" s="367"/>
      <c r="Q3" s="367"/>
      <c r="R3" s="704"/>
      <c r="T3" s="30" t="s">
        <v>59</v>
      </c>
    </row>
    <row r="4" spans="2:20" ht="18.75">
      <c r="B4" s="705"/>
      <c r="C4" s="523"/>
      <c r="D4" s="1507" t="s">
        <v>342</v>
      </c>
      <c r="E4" s="1508"/>
      <c r="F4" s="1508"/>
      <c r="G4" s="1508"/>
      <c r="H4" s="1508"/>
      <c r="I4" s="1508"/>
      <c r="J4" s="1508"/>
      <c r="K4" s="1509"/>
      <c r="L4" s="151"/>
      <c r="M4" s="1506" t="s">
        <v>373</v>
      </c>
      <c r="N4" s="1506"/>
      <c r="O4" s="1506"/>
      <c r="P4" s="115"/>
      <c r="Q4" s="115"/>
      <c r="R4" s="706"/>
      <c r="T4" s="31" t="s">
        <v>56</v>
      </c>
    </row>
    <row r="5" spans="2:20" s="693" customFormat="1" ht="26.25" customHeight="1">
      <c r="B5" s="707"/>
      <c r="C5" s="1394" t="s">
        <v>11</v>
      </c>
      <c r="D5" s="1395" t="s">
        <v>86</v>
      </c>
      <c r="E5" s="954" t="s">
        <v>87</v>
      </c>
      <c r="F5" s="954" t="s">
        <v>88</v>
      </c>
      <c r="G5" s="948"/>
      <c r="H5" s="708" t="s">
        <v>6</v>
      </c>
      <c r="I5" s="708" t="s">
        <v>148</v>
      </c>
      <c r="J5" s="708" t="s">
        <v>149</v>
      </c>
      <c r="K5" s="1114" t="s">
        <v>226</v>
      </c>
      <c r="L5" s="948"/>
      <c r="M5" s="953" t="s">
        <v>340</v>
      </c>
      <c r="N5" s="948"/>
      <c r="O5" s="954" t="s">
        <v>339</v>
      </c>
      <c r="P5" s="954" t="s">
        <v>434</v>
      </c>
      <c r="Q5" s="954" t="s">
        <v>536</v>
      </c>
      <c r="R5" s="709"/>
      <c r="T5" s="139" t="s">
        <v>206</v>
      </c>
    </row>
    <row r="6" spans="2:20" s="694" customFormat="1" ht="11.25">
      <c r="B6" s="710"/>
      <c r="C6" s="7" t="s">
        <v>254</v>
      </c>
      <c r="D6" s="1104"/>
      <c r="E6" s="711"/>
      <c r="F6" s="711"/>
      <c r="G6" s="754"/>
      <c r="H6" s="711"/>
      <c r="I6" s="711"/>
      <c r="J6" s="711"/>
      <c r="K6" s="1115"/>
      <c r="L6" s="711"/>
      <c r="M6" s="711"/>
      <c r="N6" s="754"/>
      <c r="O6" s="711"/>
      <c r="P6" s="711"/>
      <c r="Q6" s="711"/>
      <c r="R6" s="712"/>
      <c r="T6" s="139" t="s">
        <v>208</v>
      </c>
    </row>
    <row r="7" spans="2:20" s="694" customFormat="1" ht="11.25">
      <c r="B7" s="710"/>
      <c r="C7" s="7" t="s">
        <v>255</v>
      </c>
      <c r="D7" s="1104"/>
      <c r="E7" s="711"/>
      <c r="F7" s="711"/>
      <c r="G7" s="754"/>
      <c r="H7" s="711"/>
      <c r="I7" s="711"/>
      <c r="J7" s="711"/>
      <c r="K7" s="1115"/>
      <c r="L7" s="711"/>
      <c r="M7" s="711"/>
      <c r="N7" s="754"/>
      <c r="O7" s="711"/>
      <c r="P7" s="711"/>
      <c r="Q7" s="711"/>
      <c r="R7" s="712"/>
      <c r="T7" s="139" t="s">
        <v>207</v>
      </c>
    </row>
    <row r="8" spans="2:20" ht="11.25">
      <c r="B8" s="705"/>
      <c r="C8" s="27" t="s">
        <v>256</v>
      </c>
      <c r="D8" s="1105"/>
      <c r="E8" s="713"/>
      <c r="F8" s="713"/>
      <c r="G8" s="124"/>
      <c r="H8" s="713"/>
      <c r="I8" s="713"/>
      <c r="J8" s="713"/>
      <c r="K8" s="1116"/>
      <c r="L8" s="713"/>
      <c r="M8" s="713"/>
      <c r="N8" s="124"/>
      <c r="O8" s="713"/>
      <c r="P8" s="713"/>
      <c r="Q8" s="713"/>
      <c r="R8" s="706"/>
      <c r="T8" s="139" t="s">
        <v>223</v>
      </c>
    </row>
    <row r="9" spans="2:20" ht="11.25">
      <c r="B9" s="705"/>
      <c r="C9" s="714" t="s">
        <v>257</v>
      </c>
      <c r="D9" s="1105">
        <v>43939</v>
      </c>
      <c r="E9" s="713">
        <v>43767</v>
      </c>
      <c r="F9" s="713">
        <v>43739</v>
      </c>
      <c r="G9" s="124"/>
      <c r="H9" s="713">
        <v>44453</v>
      </c>
      <c r="I9" s="713">
        <v>44422</v>
      </c>
      <c r="J9" s="713">
        <v>44421</v>
      </c>
      <c r="K9" s="1116">
        <v>44420</v>
      </c>
      <c r="L9" s="713"/>
      <c r="M9" s="713">
        <v>44171</v>
      </c>
      <c r="N9" s="124"/>
      <c r="O9" s="713">
        <v>44097</v>
      </c>
      <c r="P9" s="713">
        <v>44222</v>
      </c>
      <c r="Q9" s="713">
        <v>44110</v>
      </c>
      <c r="R9" s="706"/>
      <c r="T9" s="139" t="s">
        <v>311</v>
      </c>
    </row>
    <row r="10" spans="2:20" ht="11.25">
      <c r="B10" s="705"/>
      <c r="C10" s="714" t="s">
        <v>501</v>
      </c>
      <c r="D10" s="1105">
        <v>6644</v>
      </c>
      <c r="E10" s="713">
        <v>6521</v>
      </c>
      <c r="F10" s="713">
        <v>6740</v>
      </c>
      <c r="G10" s="124"/>
      <c r="H10" s="713">
        <v>6691</v>
      </c>
      <c r="I10" s="713">
        <v>6848</v>
      </c>
      <c r="J10" s="713">
        <v>6764</v>
      </c>
      <c r="K10" s="1116">
        <v>6985</v>
      </c>
      <c r="L10" s="713"/>
      <c r="M10" s="713">
        <v>6750</v>
      </c>
      <c r="N10" s="124"/>
      <c r="O10" s="713">
        <v>6542</v>
      </c>
      <c r="P10" s="713">
        <v>7052</v>
      </c>
      <c r="Q10" s="713">
        <v>6711</v>
      </c>
      <c r="R10" s="706"/>
      <c r="T10" s="139" t="s">
        <v>12</v>
      </c>
    </row>
    <row r="11" spans="2:20" ht="11.25">
      <c r="B11" s="705"/>
      <c r="C11" s="714"/>
      <c r="D11" s="1117">
        <v>50583</v>
      </c>
      <c r="E11" s="715">
        <v>50288</v>
      </c>
      <c r="F11" s="715">
        <v>50479</v>
      </c>
      <c r="G11" s="205"/>
      <c r="H11" s="715">
        <v>51144</v>
      </c>
      <c r="I11" s="715">
        <v>51270</v>
      </c>
      <c r="J11" s="715">
        <v>51185</v>
      </c>
      <c r="K11" s="1118">
        <v>51405</v>
      </c>
      <c r="L11" s="715"/>
      <c r="M11" s="715">
        <v>50921</v>
      </c>
      <c r="N11" s="205"/>
      <c r="O11" s="715">
        <v>50639</v>
      </c>
      <c r="P11" s="715">
        <v>51274</v>
      </c>
      <c r="Q11" s="715">
        <f>+Q9+Q10</f>
        <v>50821</v>
      </c>
      <c r="R11" s="706"/>
      <c r="T11" s="139" t="s">
        <v>220</v>
      </c>
    </row>
    <row r="12" spans="2:20" ht="11.25">
      <c r="B12" s="705"/>
      <c r="C12" s="27" t="s">
        <v>258</v>
      </c>
      <c r="D12" s="1106"/>
      <c r="E12" s="716"/>
      <c r="F12" s="716"/>
      <c r="G12" s="224"/>
      <c r="H12" s="716"/>
      <c r="I12" s="716"/>
      <c r="J12" s="716"/>
      <c r="K12" s="1119"/>
      <c r="L12" s="716"/>
      <c r="M12" s="716"/>
      <c r="N12" s="224"/>
      <c r="O12" s="716"/>
      <c r="P12" s="716"/>
      <c r="Q12" s="716"/>
      <c r="R12" s="706"/>
      <c r="T12" s="139" t="s">
        <v>221</v>
      </c>
    </row>
    <row r="13" spans="2:20" ht="11.25">
      <c r="B13" s="705"/>
      <c r="C13" s="714" t="s">
        <v>259</v>
      </c>
      <c r="D13" s="1105">
        <v>15799</v>
      </c>
      <c r="E13" s="713">
        <v>15577</v>
      </c>
      <c r="F13" s="713">
        <v>15690</v>
      </c>
      <c r="G13" s="124"/>
      <c r="H13" s="713">
        <v>15626</v>
      </c>
      <c r="I13" s="713">
        <v>15606</v>
      </c>
      <c r="J13" s="713">
        <v>15436</v>
      </c>
      <c r="K13" s="1116">
        <v>15484</v>
      </c>
      <c r="L13" s="713"/>
      <c r="M13" s="713">
        <v>15338</v>
      </c>
      <c r="N13" s="124"/>
      <c r="O13" s="713">
        <v>15131</v>
      </c>
      <c r="P13" s="713">
        <v>15029</v>
      </c>
      <c r="Q13" s="713">
        <v>14635</v>
      </c>
      <c r="R13" s="706"/>
      <c r="T13" s="139" t="s">
        <v>222</v>
      </c>
    </row>
    <row r="14" spans="2:20" ht="11.25">
      <c r="B14" s="705"/>
      <c r="C14" s="714" t="s">
        <v>260</v>
      </c>
      <c r="D14" s="1105">
        <v>1546</v>
      </c>
      <c r="E14" s="713">
        <v>1522</v>
      </c>
      <c r="F14" s="713">
        <v>1525</v>
      </c>
      <c r="G14" s="124"/>
      <c r="H14" s="713">
        <v>1498</v>
      </c>
      <c r="I14" s="713">
        <v>1478</v>
      </c>
      <c r="J14" s="713">
        <v>1459</v>
      </c>
      <c r="K14" s="1116">
        <v>1450</v>
      </c>
      <c r="L14" s="713"/>
      <c r="M14" s="713">
        <v>1450</v>
      </c>
      <c r="N14" s="124"/>
      <c r="O14" s="713">
        <v>1430</v>
      </c>
      <c r="P14" s="713">
        <v>1412</v>
      </c>
      <c r="Q14" s="713">
        <v>1391</v>
      </c>
      <c r="R14" s="706"/>
      <c r="T14" s="139" t="s">
        <v>8</v>
      </c>
    </row>
    <row r="15" spans="2:20" ht="11.25">
      <c r="B15" s="705"/>
      <c r="C15" s="714"/>
      <c r="D15" s="1117">
        <v>17345</v>
      </c>
      <c r="E15" s="715">
        <v>17099</v>
      </c>
      <c r="F15" s="715">
        <v>17215</v>
      </c>
      <c r="G15" s="205"/>
      <c r="H15" s="715">
        <v>17124</v>
      </c>
      <c r="I15" s="715">
        <v>17084</v>
      </c>
      <c r="J15" s="715">
        <v>16895</v>
      </c>
      <c r="K15" s="1118">
        <v>16934</v>
      </c>
      <c r="L15" s="715"/>
      <c r="M15" s="715">
        <v>16788</v>
      </c>
      <c r="N15" s="205"/>
      <c r="O15" s="715">
        <v>16561</v>
      </c>
      <c r="P15" s="715">
        <v>16441</v>
      </c>
      <c r="Q15" s="715">
        <f>+Q13+Q14</f>
        <v>16026</v>
      </c>
      <c r="R15" s="706"/>
      <c r="T15" s="139" t="s">
        <v>534</v>
      </c>
    </row>
    <row r="16" spans="2:20" ht="11.25">
      <c r="B16" s="705"/>
      <c r="C16" s="27" t="s">
        <v>261</v>
      </c>
      <c r="D16" s="1105"/>
      <c r="E16" s="713"/>
      <c r="F16" s="713"/>
      <c r="G16" s="124"/>
      <c r="H16" s="713"/>
      <c r="I16" s="713"/>
      <c r="J16" s="713"/>
      <c r="K16" s="1116"/>
      <c r="L16" s="713"/>
      <c r="M16" s="713"/>
      <c r="N16" s="124"/>
      <c r="O16" s="713"/>
      <c r="P16" s="713"/>
      <c r="Q16" s="713"/>
      <c r="R16" s="706"/>
      <c r="T16" s="139" t="s">
        <v>535</v>
      </c>
    </row>
    <row r="17" spans="2:20" ht="11.25" customHeight="1" collapsed="1">
      <c r="B17" s="705"/>
      <c r="C17" s="717" t="s">
        <v>262</v>
      </c>
      <c r="D17" s="1105">
        <v>740</v>
      </c>
      <c r="E17" s="713">
        <v>493</v>
      </c>
      <c r="F17" s="713">
        <v>488</v>
      </c>
      <c r="G17" s="124"/>
      <c r="H17" s="713">
        <v>507</v>
      </c>
      <c r="I17" s="713">
        <v>519</v>
      </c>
      <c r="J17" s="713">
        <v>501</v>
      </c>
      <c r="K17" s="1116">
        <v>484</v>
      </c>
      <c r="L17" s="713"/>
      <c r="M17" s="713">
        <v>484</v>
      </c>
      <c r="N17" s="124"/>
      <c r="O17" s="713">
        <v>475</v>
      </c>
      <c r="P17" s="713">
        <v>472</v>
      </c>
      <c r="Q17" s="713">
        <v>496</v>
      </c>
      <c r="R17" s="706"/>
      <c r="T17" s="139" t="s">
        <v>545</v>
      </c>
    </row>
    <row r="18" spans="2:21" ht="11.25">
      <c r="B18" s="705"/>
      <c r="C18" s="714" t="s">
        <v>263</v>
      </c>
      <c r="D18" s="1105">
        <v>546</v>
      </c>
      <c r="E18" s="713">
        <v>754</v>
      </c>
      <c r="F18" s="713">
        <v>776</v>
      </c>
      <c r="G18" s="124"/>
      <c r="H18" s="713">
        <v>756</v>
      </c>
      <c r="I18" s="713">
        <v>59</v>
      </c>
      <c r="J18" s="713">
        <v>58</v>
      </c>
      <c r="K18" s="1116">
        <v>57</v>
      </c>
      <c r="L18" s="713"/>
      <c r="M18" s="713">
        <v>57</v>
      </c>
      <c r="N18" s="124"/>
      <c r="O18" s="713">
        <v>66</v>
      </c>
      <c r="P18" s="713">
        <v>59</v>
      </c>
      <c r="Q18" s="713">
        <v>57</v>
      </c>
      <c r="R18" s="706"/>
      <c r="T18" s="139" t="s">
        <v>109</v>
      </c>
      <c r="U18" s="690"/>
    </row>
    <row r="19" spans="2:21" s="690" customFormat="1" ht="11.25">
      <c r="B19" s="703"/>
      <c r="C19" s="717" t="s">
        <v>264</v>
      </c>
      <c r="D19" s="1105">
        <v>522</v>
      </c>
      <c r="E19" s="713">
        <v>584</v>
      </c>
      <c r="F19" s="713">
        <v>691</v>
      </c>
      <c r="G19" s="124"/>
      <c r="H19" s="713">
        <v>657</v>
      </c>
      <c r="I19" s="713">
        <v>699</v>
      </c>
      <c r="J19" s="713">
        <v>624</v>
      </c>
      <c r="K19" s="1116">
        <v>695</v>
      </c>
      <c r="L19" s="713"/>
      <c r="M19" s="713">
        <v>695</v>
      </c>
      <c r="N19" s="124"/>
      <c r="O19" s="713">
        <v>933</v>
      </c>
      <c r="P19" s="713">
        <v>741</v>
      </c>
      <c r="Q19" s="713">
        <v>950</v>
      </c>
      <c r="R19" s="704"/>
      <c r="T19" s="139" t="s">
        <v>157</v>
      </c>
      <c r="U19" s="689"/>
    </row>
    <row r="20" spans="2:20" ht="15.75" customHeight="1">
      <c r="B20" s="705"/>
      <c r="C20" s="714" t="s">
        <v>265</v>
      </c>
      <c r="D20" s="1105">
        <v>828</v>
      </c>
      <c r="E20" s="713">
        <v>855</v>
      </c>
      <c r="F20" s="713">
        <v>871</v>
      </c>
      <c r="G20" s="124"/>
      <c r="H20" s="713">
        <v>971</v>
      </c>
      <c r="I20" s="713">
        <v>962</v>
      </c>
      <c r="J20" s="713">
        <v>923</v>
      </c>
      <c r="K20" s="1116">
        <v>866</v>
      </c>
      <c r="L20" s="713"/>
      <c r="M20" s="713">
        <v>864</v>
      </c>
      <c r="N20" s="124"/>
      <c r="O20" s="713">
        <v>848</v>
      </c>
      <c r="P20" s="713">
        <v>786</v>
      </c>
      <c r="Q20" s="713">
        <v>724</v>
      </c>
      <c r="R20" s="706"/>
      <c r="T20" s="1469" t="s">
        <v>382</v>
      </c>
    </row>
    <row r="21" spans="2:20" ht="11.25">
      <c r="B21" s="705"/>
      <c r="C21" s="26" t="s">
        <v>266</v>
      </c>
      <c r="D21" s="1105">
        <v>1747</v>
      </c>
      <c r="E21" s="713">
        <v>1325</v>
      </c>
      <c r="F21" s="713">
        <v>912</v>
      </c>
      <c r="G21" s="124"/>
      <c r="H21" s="713">
        <v>625</v>
      </c>
      <c r="I21" s="713">
        <v>261</v>
      </c>
      <c r="J21" s="713">
        <v>207</v>
      </c>
      <c r="K21" s="1116">
        <v>247</v>
      </c>
      <c r="L21" s="713"/>
      <c r="M21" s="713">
        <v>247</v>
      </c>
      <c r="N21" s="124"/>
      <c r="O21" s="713">
        <v>118</v>
      </c>
      <c r="P21" s="713">
        <v>238</v>
      </c>
      <c r="Q21" s="713">
        <v>154</v>
      </c>
      <c r="R21" s="706"/>
      <c r="T21" s="162" t="s">
        <v>312</v>
      </c>
    </row>
    <row r="22" spans="2:18" ht="11.25">
      <c r="B22" s="705"/>
      <c r="C22" s="26"/>
      <c r="D22" s="1117">
        <v>4383</v>
      </c>
      <c r="E22" s="715">
        <v>4011</v>
      </c>
      <c r="F22" s="715">
        <v>3738</v>
      </c>
      <c r="G22" s="205"/>
      <c r="H22" s="715">
        <v>3516</v>
      </c>
      <c r="I22" s="715">
        <v>2500</v>
      </c>
      <c r="J22" s="715">
        <v>2313</v>
      </c>
      <c r="K22" s="1118">
        <v>2349</v>
      </c>
      <c r="L22" s="715"/>
      <c r="M22" s="715">
        <v>2347</v>
      </c>
      <c r="N22" s="205"/>
      <c r="O22" s="715">
        <v>2440</v>
      </c>
      <c r="P22" s="715">
        <v>2296</v>
      </c>
      <c r="Q22" s="715">
        <f>+Q17+Q18+Q19+Q20+Q21</f>
        <v>2381</v>
      </c>
      <c r="R22" s="706"/>
    </row>
    <row r="23" spans="2:21" ht="12" thickBot="1">
      <c r="B23" s="705"/>
      <c r="C23" s="714"/>
      <c r="D23" s="1105"/>
      <c r="E23" s="713"/>
      <c r="F23" s="713"/>
      <c r="G23" s="124"/>
      <c r="H23" s="713"/>
      <c r="I23" s="713"/>
      <c r="J23" s="713"/>
      <c r="K23" s="1116"/>
      <c r="L23" s="713"/>
      <c r="M23" s="713"/>
      <c r="N23" s="124"/>
      <c r="O23" s="713"/>
      <c r="P23" s="713"/>
      <c r="Q23" s="713"/>
      <c r="R23" s="706"/>
      <c r="U23" s="694"/>
    </row>
    <row r="24" spans="2:21" s="694" customFormat="1" ht="12" thickBot="1">
      <c r="B24" s="710"/>
      <c r="C24" s="718" t="s">
        <v>267</v>
      </c>
      <c r="D24" s="1120">
        <v>72311</v>
      </c>
      <c r="E24" s="719">
        <v>71398</v>
      </c>
      <c r="F24" s="719">
        <v>71432</v>
      </c>
      <c r="G24" s="939"/>
      <c r="H24" s="719">
        <v>71784</v>
      </c>
      <c r="I24" s="719">
        <v>70854</v>
      </c>
      <c r="J24" s="719">
        <v>70393</v>
      </c>
      <c r="K24" s="1121">
        <v>70688</v>
      </c>
      <c r="L24" s="719"/>
      <c r="M24" s="719">
        <v>70056</v>
      </c>
      <c r="N24" s="939"/>
      <c r="O24" s="719">
        <v>69640</v>
      </c>
      <c r="P24" s="719">
        <v>70011</v>
      </c>
      <c r="Q24" s="719">
        <f>+Q22+Q15+Q11</f>
        <v>69228</v>
      </c>
      <c r="R24" s="712"/>
      <c r="T24" s="689"/>
      <c r="U24" s="689"/>
    </row>
    <row r="25" spans="2:18" ht="6.75" customHeight="1">
      <c r="B25" s="705"/>
      <c r="C25" s="9"/>
      <c r="D25" s="1105"/>
      <c r="E25" s="713"/>
      <c r="F25" s="713"/>
      <c r="G25" s="124"/>
      <c r="H25" s="713"/>
      <c r="I25" s="713"/>
      <c r="J25" s="713"/>
      <c r="K25" s="1116"/>
      <c r="L25" s="713"/>
      <c r="M25" s="713"/>
      <c r="N25" s="124"/>
      <c r="O25" s="713"/>
      <c r="P25" s="713"/>
      <c r="Q25" s="713"/>
      <c r="R25" s="706"/>
    </row>
    <row r="26" spans="2:18" ht="11.25">
      <c r="B26" s="705"/>
      <c r="C26" s="7" t="s">
        <v>268</v>
      </c>
      <c r="D26" s="1105"/>
      <c r="E26" s="713"/>
      <c r="F26" s="713"/>
      <c r="G26" s="124"/>
      <c r="H26" s="713"/>
      <c r="I26" s="713"/>
      <c r="J26" s="713"/>
      <c r="K26" s="1116"/>
      <c r="L26" s="713"/>
      <c r="M26" s="713"/>
      <c r="N26" s="124"/>
      <c r="O26" s="713"/>
      <c r="P26" s="713"/>
      <c r="Q26" s="713"/>
      <c r="R26" s="706"/>
    </row>
    <row r="27" spans="2:18" ht="11.25">
      <c r="B27" s="705"/>
      <c r="C27" s="9" t="s">
        <v>269</v>
      </c>
      <c r="D27" s="1105">
        <v>363</v>
      </c>
      <c r="E27" s="713">
        <v>355</v>
      </c>
      <c r="F27" s="713">
        <v>291</v>
      </c>
      <c r="G27" s="124"/>
      <c r="H27" s="713">
        <v>328</v>
      </c>
      <c r="I27" s="713">
        <v>318</v>
      </c>
      <c r="J27" s="713">
        <v>362</v>
      </c>
      <c r="K27" s="1116">
        <v>308</v>
      </c>
      <c r="L27" s="713"/>
      <c r="M27" s="713">
        <v>307</v>
      </c>
      <c r="N27" s="124"/>
      <c r="O27" s="713">
        <v>330</v>
      </c>
      <c r="P27" s="713">
        <v>327</v>
      </c>
      <c r="Q27" s="713">
        <v>362</v>
      </c>
      <c r="R27" s="706"/>
    </row>
    <row r="28" spans="2:20" ht="11.25">
      <c r="B28" s="705"/>
      <c r="C28" s="9" t="s">
        <v>270</v>
      </c>
      <c r="D28" s="1105">
        <v>9927</v>
      </c>
      <c r="E28" s="713">
        <v>9478</v>
      </c>
      <c r="F28" s="713">
        <v>8748</v>
      </c>
      <c r="G28" s="124"/>
      <c r="H28" s="713">
        <v>8886</v>
      </c>
      <c r="I28" s="713">
        <v>9559</v>
      </c>
      <c r="J28" s="713">
        <v>9458</v>
      </c>
      <c r="K28" s="1116">
        <v>9088</v>
      </c>
      <c r="L28" s="713"/>
      <c r="M28" s="713">
        <v>9043</v>
      </c>
      <c r="N28" s="124"/>
      <c r="O28" s="713">
        <v>8622</v>
      </c>
      <c r="P28" s="713">
        <v>8953</v>
      </c>
      <c r="Q28" s="713">
        <v>8453</v>
      </c>
      <c r="R28" s="706"/>
      <c r="T28" s="694"/>
    </row>
    <row r="29" spans="2:18" ht="11.25">
      <c r="B29" s="705"/>
      <c r="C29" s="9" t="s">
        <v>271</v>
      </c>
      <c r="D29" s="1105">
        <v>45</v>
      </c>
      <c r="E29" s="713">
        <v>39</v>
      </c>
      <c r="F29" s="713">
        <v>287</v>
      </c>
      <c r="G29" s="124"/>
      <c r="H29" s="713">
        <v>34</v>
      </c>
      <c r="I29" s="713">
        <v>212</v>
      </c>
      <c r="J29" s="713">
        <v>72</v>
      </c>
      <c r="K29" s="1116">
        <v>101</v>
      </c>
      <c r="L29" s="713"/>
      <c r="M29" s="713">
        <v>101</v>
      </c>
      <c r="N29" s="124"/>
      <c r="O29" s="713">
        <v>51</v>
      </c>
      <c r="P29" s="713">
        <v>104</v>
      </c>
      <c r="Q29" s="713">
        <v>92</v>
      </c>
      <c r="R29" s="706"/>
    </row>
    <row r="30" spans="2:18" ht="11.25" hidden="1">
      <c r="B30" s="705"/>
      <c r="C30" s="9" t="e">
        <v>#REF!</v>
      </c>
      <c r="D30" s="1105">
        <v>0</v>
      </c>
      <c r="E30" s="713">
        <v>0</v>
      </c>
      <c r="F30" s="713" t="e">
        <v>#REF!</v>
      </c>
      <c r="G30" s="124"/>
      <c r="H30" s="713" t="e">
        <v>#REF!</v>
      </c>
      <c r="I30" s="713" t="e">
        <v>#REF!</v>
      </c>
      <c r="J30" s="713" t="e">
        <v>#REF!</v>
      </c>
      <c r="K30" s="1116"/>
      <c r="L30" s="713"/>
      <c r="M30" s="713"/>
      <c r="N30" s="124"/>
      <c r="O30" s="713"/>
      <c r="P30" s="713"/>
      <c r="Q30" s="713"/>
      <c r="R30" s="706"/>
    </row>
    <row r="31" spans="2:20" ht="11.25">
      <c r="B31" s="705"/>
      <c r="C31" s="9" t="s">
        <v>263</v>
      </c>
      <c r="D31" s="1105">
        <v>244</v>
      </c>
      <c r="E31" s="713">
        <v>258</v>
      </c>
      <c r="F31" s="713">
        <v>812</v>
      </c>
      <c r="G31" s="124"/>
      <c r="H31" s="713">
        <v>253</v>
      </c>
      <c r="I31" s="713">
        <v>265</v>
      </c>
      <c r="J31" s="713">
        <v>268</v>
      </c>
      <c r="K31" s="1116">
        <v>390</v>
      </c>
      <c r="L31" s="713"/>
      <c r="M31" s="713">
        <v>387</v>
      </c>
      <c r="N31" s="124"/>
      <c r="O31" s="713">
        <v>234</v>
      </c>
      <c r="P31" s="713">
        <v>166</v>
      </c>
      <c r="Q31" s="713">
        <v>154</v>
      </c>
      <c r="R31" s="704"/>
      <c r="T31" s="696"/>
    </row>
    <row r="32" spans="2:18" ht="11.25">
      <c r="B32" s="705"/>
      <c r="C32" s="9" t="s">
        <v>492</v>
      </c>
      <c r="D32" s="1105"/>
      <c r="E32" s="713"/>
      <c r="F32" s="713"/>
      <c r="G32" s="124"/>
      <c r="H32" s="713"/>
      <c r="I32" s="713"/>
      <c r="J32" s="713"/>
      <c r="K32" s="1116"/>
      <c r="L32" s="713"/>
      <c r="M32" s="713">
        <v>0</v>
      </c>
      <c r="N32" s="124"/>
      <c r="O32" s="713">
        <v>0</v>
      </c>
      <c r="P32" s="713">
        <v>39</v>
      </c>
      <c r="Q32" s="713">
        <v>39</v>
      </c>
      <c r="R32" s="704"/>
    </row>
    <row r="33" spans="2:18" ht="11.25">
      <c r="B33" s="705"/>
      <c r="C33" s="9" t="s">
        <v>272</v>
      </c>
      <c r="D33" s="1105">
        <v>320</v>
      </c>
      <c r="E33" s="713">
        <v>447</v>
      </c>
      <c r="F33" s="713">
        <v>433</v>
      </c>
      <c r="G33" s="124"/>
      <c r="H33" s="713">
        <v>484</v>
      </c>
      <c r="I33" s="713">
        <v>399</v>
      </c>
      <c r="J33" s="713">
        <v>542</v>
      </c>
      <c r="K33" s="1116">
        <v>377</v>
      </c>
      <c r="L33" s="713"/>
      <c r="M33" s="713">
        <v>1065</v>
      </c>
      <c r="N33" s="124"/>
      <c r="O33" s="713">
        <v>1182</v>
      </c>
      <c r="P33" s="713">
        <v>1124</v>
      </c>
      <c r="Q33" s="713">
        <v>423</v>
      </c>
      <c r="R33" s="704"/>
    </row>
    <row r="34" spans="2:21" ht="12" thickBot="1">
      <c r="B34" s="705"/>
      <c r="C34" s="9" t="s">
        <v>273</v>
      </c>
      <c r="D34" s="1105">
        <v>2958</v>
      </c>
      <c r="E34" s="713">
        <v>7152</v>
      </c>
      <c r="F34" s="713">
        <v>7219</v>
      </c>
      <c r="G34" s="124"/>
      <c r="H34" s="713">
        <v>6497</v>
      </c>
      <c r="I34" s="713">
        <v>3664</v>
      </c>
      <c r="J34" s="713">
        <v>4235</v>
      </c>
      <c r="K34" s="1116">
        <v>6473</v>
      </c>
      <c r="L34" s="713"/>
      <c r="M34" s="713">
        <v>6449</v>
      </c>
      <c r="N34" s="124"/>
      <c r="O34" s="713">
        <v>5068</v>
      </c>
      <c r="P34" s="713">
        <v>4413</v>
      </c>
      <c r="Q34" s="713">
        <v>5605</v>
      </c>
      <c r="R34" s="706"/>
      <c r="T34" s="694"/>
      <c r="U34" s="694"/>
    </row>
    <row r="35" spans="2:21" s="694" customFormat="1" ht="12" thickBot="1">
      <c r="B35" s="710"/>
      <c r="C35" s="718" t="s">
        <v>274</v>
      </c>
      <c r="D35" s="1120">
        <v>13857</v>
      </c>
      <c r="E35" s="719">
        <v>17729</v>
      </c>
      <c r="F35" s="719">
        <v>17790</v>
      </c>
      <c r="G35" s="939"/>
      <c r="H35" s="719">
        <v>16482</v>
      </c>
      <c r="I35" s="719">
        <v>14417</v>
      </c>
      <c r="J35" s="719">
        <v>14937</v>
      </c>
      <c r="K35" s="1121">
        <v>16737</v>
      </c>
      <c r="L35" s="719"/>
      <c r="M35" s="719">
        <v>17352</v>
      </c>
      <c r="N35" s="939"/>
      <c r="O35" s="719">
        <v>15487</v>
      </c>
      <c r="P35" s="719">
        <v>15126</v>
      </c>
      <c r="Q35" s="719">
        <f>+Q27+Q28+Q29+Q31+Q32+Q33+Q34</f>
        <v>15128</v>
      </c>
      <c r="R35" s="712"/>
      <c r="T35" s="689"/>
      <c r="U35" s="689"/>
    </row>
    <row r="36" spans="2:21" ht="6" customHeight="1">
      <c r="B36" s="705"/>
      <c r="C36" s="9"/>
      <c r="D36" s="1105"/>
      <c r="E36" s="713"/>
      <c r="F36" s="713"/>
      <c r="G36" s="124"/>
      <c r="H36" s="713"/>
      <c r="I36" s="713"/>
      <c r="J36" s="713"/>
      <c r="K36" s="1116"/>
      <c r="L36" s="713"/>
      <c r="M36" s="713"/>
      <c r="N36" s="124"/>
      <c r="O36" s="713"/>
      <c r="P36" s="713"/>
      <c r="Q36" s="713"/>
      <c r="R36" s="706"/>
      <c r="T36" s="694"/>
      <c r="U36" s="696"/>
    </row>
    <row r="37" spans="2:21" s="696" customFormat="1" ht="11.25">
      <c r="B37" s="720"/>
      <c r="C37" s="14" t="s">
        <v>275</v>
      </c>
      <c r="D37" s="1105"/>
      <c r="E37" s="713"/>
      <c r="F37" s="713"/>
      <c r="G37" s="124"/>
      <c r="H37" s="713"/>
      <c r="I37" s="713"/>
      <c r="J37" s="713"/>
      <c r="K37" s="1116"/>
      <c r="L37" s="713"/>
      <c r="M37" s="713"/>
      <c r="N37" s="124"/>
      <c r="O37" s="713"/>
      <c r="P37" s="713"/>
      <c r="Q37" s="713"/>
      <c r="R37" s="721"/>
      <c r="T37" s="689"/>
      <c r="U37" s="689"/>
    </row>
    <row r="38" spans="2:20" ht="11.25">
      <c r="B38" s="705"/>
      <c r="C38" s="9" t="s">
        <v>276</v>
      </c>
      <c r="D38" s="1105">
        <v>0</v>
      </c>
      <c r="E38" s="713">
        <v>0</v>
      </c>
      <c r="F38" s="713">
        <v>0</v>
      </c>
      <c r="G38" s="124"/>
      <c r="H38" s="713">
        <v>0</v>
      </c>
      <c r="I38" s="713">
        <v>0</v>
      </c>
      <c r="J38" s="713">
        <v>0</v>
      </c>
      <c r="K38" s="1116"/>
      <c r="L38" s="713"/>
      <c r="M38" s="713">
        <v>33</v>
      </c>
      <c r="N38" s="124"/>
      <c r="O38" s="713">
        <v>24</v>
      </c>
      <c r="P38" s="713">
        <v>30</v>
      </c>
      <c r="Q38" s="713">
        <v>0</v>
      </c>
      <c r="R38" s="706"/>
      <c r="T38" s="694"/>
    </row>
    <row r="39" spans="2:21" ht="11.25">
      <c r="B39" s="705"/>
      <c r="C39" s="9" t="s">
        <v>277</v>
      </c>
      <c r="D39" s="1105">
        <v>0</v>
      </c>
      <c r="E39" s="713">
        <v>239</v>
      </c>
      <c r="F39" s="713">
        <v>235</v>
      </c>
      <c r="G39" s="124"/>
      <c r="H39" s="713">
        <v>235</v>
      </c>
      <c r="I39" s="713">
        <v>939</v>
      </c>
      <c r="J39" s="713">
        <v>423</v>
      </c>
      <c r="K39" s="1122">
        <v>0</v>
      </c>
      <c r="L39" s="732"/>
      <c r="M39" s="732">
        <v>735</v>
      </c>
      <c r="N39" s="943"/>
      <c r="O39" s="732">
        <v>734</v>
      </c>
      <c r="P39" s="732">
        <v>701</v>
      </c>
      <c r="Q39" s="732">
        <v>9</v>
      </c>
      <c r="R39" s="706"/>
      <c r="T39" s="697"/>
      <c r="U39" s="694"/>
    </row>
    <row r="40" spans="2:21" s="694" customFormat="1" ht="20.25" customHeight="1">
      <c r="B40" s="710"/>
      <c r="C40" s="722"/>
      <c r="D40" s="1123">
        <v>0</v>
      </c>
      <c r="E40" s="723">
        <v>239</v>
      </c>
      <c r="F40" s="723">
        <v>235</v>
      </c>
      <c r="G40" s="940"/>
      <c r="H40" s="723">
        <v>235</v>
      </c>
      <c r="I40" s="723">
        <v>939</v>
      </c>
      <c r="J40" s="723">
        <v>423</v>
      </c>
      <c r="K40" s="1124">
        <v>0</v>
      </c>
      <c r="L40" s="723"/>
      <c r="M40" s="723">
        <v>768</v>
      </c>
      <c r="N40" s="940"/>
      <c r="O40" s="723">
        <v>758</v>
      </c>
      <c r="P40" s="723">
        <v>731</v>
      </c>
      <c r="Q40" s="723">
        <f>+Q38+Q39</f>
        <v>9</v>
      </c>
      <c r="R40" s="712"/>
      <c r="T40" s="693"/>
      <c r="U40" s="689"/>
    </row>
    <row r="41" spans="2:21" ht="20.25" customHeight="1" thickBot="1">
      <c r="B41" s="705"/>
      <c r="C41" s="722"/>
      <c r="D41" s="1105"/>
      <c r="E41" s="713"/>
      <c r="F41" s="713"/>
      <c r="G41" s="124"/>
      <c r="H41" s="713"/>
      <c r="I41" s="713"/>
      <c r="J41" s="713"/>
      <c r="K41" s="1116"/>
      <c r="L41" s="713"/>
      <c r="M41" s="713"/>
      <c r="N41" s="124"/>
      <c r="O41" s="713"/>
      <c r="P41" s="713"/>
      <c r="Q41" s="713"/>
      <c r="R41" s="706"/>
      <c r="T41" s="694"/>
      <c r="U41" s="694"/>
    </row>
    <row r="42" spans="2:21" s="694" customFormat="1" ht="12" thickBot="1">
      <c r="B42" s="710"/>
      <c r="C42" s="718" t="s">
        <v>278</v>
      </c>
      <c r="D42" s="1125">
        <v>13857</v>
      </c>
      <c r="E42" s="724">
        <v>17968</v>
      </c>
      <c r="F42" s="724">
        <v>18025</v>
      </c>
      <c r="G42" s="941"/>
      <c r="H42" s="724">
        <v>16717</v>
      </c>
      <c r="I42" s="724">
        <v>15356</v>
      </c>
      <c r="J42" s="724">
        <v>15360</v>
      </c>
      <c r="K42" s="1126">
        <v>16737</v>
      </c>
      <c r="L42" s="724"/>
      <c r="M42" s="724">
        <v>18120</v>
      </c>
      <c r="N42" s="941"/>
      <c r="O42" s="724">
        <v>16245</v>
      </c>
      <c r="P42" s="724">
        <v>15857</v>
      </c>
      <c r="Q42" s="724">
        <f>+Q35+Q40</f>
        <v>15137</v>
      </c>
      <c r="R42" s="712"/>
      <c r="T42" s="689"/>
      <c r="U42" s="689"/>
    </row>
    <row r="43" spans="2:21" ht="12" thickBot="1">
      <c r="B43" s="705"/>
      <c r="C43" s="9"/>
      <c r="D43" s="1105"/>
      <c r="E43" s="713"/>
      <c r="F43" s="713"/>
      <c r="G43" s="124"/>
      <c r="H43" s="713"/>
      <c r="I43" s="713"/>
      <c r="J43" s="713"/>
      <c r="K43" s="1116"/>
      <c r="L43" s="713"/>
      <c r="M43" s="713"/>
      <c r="N43" s="124"/>
      <c r="O43" s="713"/>
      <c r="P43" s="713"/>
      <c r="Q43" s="713"/>
      <c r="R43" s="706"/>
      <c r="U43" s="694"/>
    </row>
    <row r="44" spans="2:21" s="694" customFormat="1" ht="12" thickBot="1">
      <c r="B44" s="710"/>
      <c r="C44" s="718" t="s">
        <v>279</v>
      </c>
      <c r="D44" s="1125">
        <v>86168</v>
      </c>
      <c r="E44" s="724">
        <v>89366</v>
      </c>
      <c r="F44" s="724">
        <v>89457</v>
      </c>
      <c r="G44" s="941"/>
      <c r="H44" s="724">
        <v>88501</v>
      </c>
      <c r="I44" s="724">
        <v>86210</v>
      </c>
      <c r="J44" s="724">
        <v>85753</v>
      </c>
      <c r="K44" s="1126">
        <v>87425</v>
      </c>
      <c r="L44" s="724"/>
      <c r="M44" s="724">
        <v>88176</v>
      </c>
      <c r="N44" s="941"/>
      <c r="O44" s="724">
        <v>85885</v>
      </c>
      <c r="P44" s="724">
        <v>85868</v>
      </c>
      <c r="Q44" s="724">
        <f>+Q42+Q24</f>
        <v>84365</v>
      </c>
      <c r="R44" s="712"/>
      <c r="T44" s="689"/>
      <c r="U44" s="697"/>
    </row>
    <row r="45" spans="2:21" s="697" customFormat="1" ht="12" thickBot="1">
      <c r="B45" s="725"/>
      <c r="C45" s="1405"/>
      <c r="D45" s="1109"/>
      <c r="E45" s="726"/>
      <c r="F45" s="726"/>
      <c r="G45" s="755"/>
      <c r="H45" s="726"/>
      <c r="I45" s="726"/>
      <c r="J45" s="726"/>
      <c r="K45" s="1127"/>
      <c r="L45" s="726"/>
      <c r="M45" s="726"/>
      <c r="N45" s="755"/>
      <c r="O45" s="726"/>
      <c r="P45" s="726"/>
      <c r="Q45" s="726"/>
      <c r="R45" s="727"/>
      <c r="T45" s="689"/>
      <c r="U45" s="693"/>
    </row>
    <row r="46" spans="2:21" s="693" customFormat="1" ht="12" thickTop="1">
      <c r="B46" s="707"/>
      <c r="C46" s="728" t="s">
        <v>280</v>
      </c>
      <c r="D46" s="1128"/>
      <c r="E46" s="729"/>
      <c r="F46" s="729"/>
      <c r="G46" s="942"/>
      <c r="H46" s="729"/>
      <c r="I46" s="729"/>
      <c r="J46" s="729"/>
      <c r="K46" s="1129"/>
      <c r="L46" s="729"/>
      <c r="M46" s="729"/>
      <c r="N46" s="942"/>
      <c r="O46" s="729"/>
      <c r="P46" s="729"/>
      <c r="Q46" s="729"/>
      <c r="R46" s="709"/>
      <c r="T46" s="689"/>
      <c r="U46" s="694"/>
    </row>
    <row r="47" spans="2:21" s="694" customFormat="1" ht="11.25">
      <c r="B47" s="710"/>
      <c r="C47" s="7" t="s">
        <v>281</v>
      </c>
      <c r="D47" s="1110"/>
      <c r="E47" s="730"/>
      <c r="F47" s="730"/>
      <c r="G47" s="66"/>
      <c r="H47" s="730"/>
      <c r="I47" s="730"/>
      <c r="J47" s="730"/>
      <c r="K47" s="1130"/>
      <c r="L47" s="730"/>
      <c r="M47" s="730"/>
      <c r="N47" s="66"/>
      <c r="O47" s="730"/>
      <c r="P47" s="730"/>
      <c r="Q47" s="730"/>
      <c r="R47" s="712"/>
      <c r="U47" s="689"/>
    </row>
    <row r="48" spans="2:18" ht="11.25">
      <c r="B48" s="705"/>
      <c r="C48" s="9" t="s">
        <v>282</v>
      </c>
      <c r="D48" s="1105">
        <v>24472</v>
      </c>
      <c r="E48" s="713">
        <v>25386</v>
      </c>
      <c r="F48" s="713">
        <v>26018</v>
      </c>
      <c r="G48" s="124"/>
      <c r="H48" s="713">
        <v>26870</v>
      </c>
      <c r="I48" s="713">
        <v>25029</v>
      </c>
      <c r="J48" s="713">
        <v>25695</v>
      </c>
      <c r="K48" s="1116">
        <v>25922</v>
      </c>
      <c r="L48" s="713"/>
      <c r="M48" s="713">
        <v>25922</v>
      </c>
      <c r="N48" s="124"/>
      <c r="O48" s="713">
        <v>26178</v>
      </c>
      <c r="P48" s="713">
        <v>25572</v>
      </c>
      <c r="Q48" s="713">
        <v>25936</v>
      </c>
      <c r="R48" s="706"/>
    </row>
    <row r="49" spans="2:18" ht="11.25" hidden="1">
      <c r="B49" s="705"/>
      <c r="C49" s="714" t="e">
        <v>#REF!</v>
      </c>
      <c r="D49" s="1105" t="e">
        <v>#REF!</v>
      </c>
      <c r="E49" s="713" t="e">
        <v>#REF!</v>
      </c>
      <c r="F49" s="713" t="e">
        <v>#REF!</v>
      </c>
      <c r="G49" s="124"/>
      <c r="H49" s="713" t="e">
        <v>#REF!</v>
      </c>
      <c r="I49" s="713" t="e">
        <v>#REF!</v>
      </c>
      <c r="J49" s="713" t="e">
        <v>#REF!</v>
      </c>
      <c r="K49" s="1116"/>
      <c r="L49" s="713"/>
      <c r="M49" s="713"/>
      <c r="N49" s="124"/>
      <c r="O49" s="713"/>
      <c r="P49" s="713"/>
      <c r="Q49" s="713"/>
      <c r="R49" s="706"/>
    </row>
    <row r="50" spans="2:20" ht="11.25" hidden="1">
      <c r="B50" s="705"/>
      <c r="C50" s="714" t="e">
        <v>#REF!</v>
      </c>
      <c r="D50" s="1105" t="e">
        <v>#REF!</v>
      </c>
      <c r="E50" s="713" t="e">
        <v>#REF!</v>
      </c>
      <c r="F50" s="713" t="e">
        <v>#REF!</v>
      </c>
      <c r="G50" s="124"/>
      <c r="H50" s="713" t="e">
        <v>#REF!</v>
      </c>
      <c r="I50" s="713" t="e">
        <v>#REF!</v>
      </c>
      <c r="J50" s="713" t="e">
        <v>#REF!</v>
      </c>
      <c r="K50" s="1116"/>
      <c r="L50" s="713"/>
      <c r="M50" s="713"/>
      <c r="N50" s="124"/>
      <c r="O50" s="713"/>
      <c r="P50" s="713"/>
      <c r="Q50" s="713"/>
      <c r="R50" s="706"/>
      <c r="T50" s="690"/>
    </row>
    <row r="51" spans="2:18" ht="11.25" hidden="1">
      <c r="B51" s="705"/>
      <c r="C51" s="731" t="e">
        <v>#REF!</v>
      </c>
      <c r="D51" s="1105" t="e">
        <v>#REF!</v>
      </c>
      <c r="E51" s="713" t="e">
        <v>#REF!</v>
      </c>
      <c r="F51" s="713" t="e">
        <v>#REF!</v>
      </c>
      <c r="G51" s="124"/>
      <c r="H51" s="713" t="e">
        <v>#REF!</v>
      </c>
      <c r="I51" s="713" t="e">
        <v>#REF!</v>
      </c>
      <c r="J51" s="713" t="e">
        <v>#REF!</v>
      </c>
      <c r="K51" s="1116"/>
      <c r="L51" s="713"/>
      <c r="M51" s="713"/>
      <c r="N51" s="124"/>
      <c r="O51" s="713"/>
      <c r="P51" s="713"/>
      <c r="Q51" s="713"/>
      <c r="R51" s="706"/>
    </row>
    <row r="52" spans="2:21" ht="12" thickBot="1">
      <c r="B52" s="705"/>
      <c r="C52" s="26" t="s">
        <v>283</v>
      </c>
      <c r="D52" s="1105">
        <v>1088</v>
      </c>
      <c r="E52" s="713">
        <v>1086</v>
      </c>
      <c r="F52" s="713">
        <v>1080</v>
      </c>
      <c r="G52" s="124"/>
      <c r="H52" s="713">
        <v>1083</v>
      </c>
      <c r="I52" s="713">
        <v>1072</v>
      </c>
      <c r="J52" s="713">
        <v>1049</v>
      </c>
      <c r="K52" s="1116">
        <v>1063</v>
      </c>
      <c r="L52" s="713"/>
      <c r="M52" s="713">
        <v>1063</v>
      </c>
      <c r="N52" s="124"/>
      <c r="O52" s="713">
        <v>973</v>
      </c>
      <c r="P52" s="713">
        <v>886</v>
      </c>
      <c r="Q52" s="713">
        <v>816</v>
      </c>
      <c r="R52" s="706"/>
      <c r="U52" s="694"/>
    </row>
    <row r="53" spans="2:21" s="694" customFormat="1" ht="12" thickBot="1">
      <c r="B53" s="710"/>
      <c r="C53" s="718" t="s">
        <v>284</v>
      </c>
      <c r="D53" s="1120">
        <v>25560</v>
      </c>
      <c r="E53" s="719">
        <v>26472</v>
      </c>
      <c r="F53" s="719">
        <v>27098</v>
      </c>
      <c r="G53" s="939"/>
      <c r="H53" s="719">
        <v>27953</v>
      </c>
      <c r="I53" s="719">
        <v>26101</v>
      </c>
      <c r="J53" s="719">
        <v>26744</v>
      </c>
      <c r="K53" s="1121">
        <v>26985</v>
      </c>
      <c r="L53" s="719"/>
      <c r="M53" s="719">
        <v>26985</v>
      </c>
      <c r="N53" s="939"/>
      <c r="O53" s="719">
        <v>27151</v>
      </c>
      <c r="P53" s="719">
        <v>26458</v>
      </c>
      <c r="Q53" s="719">
        <f>+Q48+Q52</f>
        <v>26752</v>
      </c>
      <c r="R53" s="712"/>
      <c r="T53" s="689"/>
      <c r="U53" s="689"/>
    </row>
    <row r="54" spans="2:18" ht="11.25">
      <c r="B54" s="705"/>
      <c r="C54" s="9"/>
      <c r="D54" s="1108"/>
      <c r="E54" s="732"/>
      <c r="F54" s="732"/>
      <c r="G54" s="943"/>
      <c r="H54" s="732"/>
      <c r="I54" s="732"/>
      <c r="J54" s="732"/>
      <c r="K54" s="1122"/>
      <c r="L54" s="732"/>
      <c r="M54" s="732"/>
      <c r="N54" s="943"/>
      <c r="O54" s="732"/>
      <c r="P54" s="732"/>
      <c r="Q54" s="732"/>
      <c r="R54" s="706"/>
    </row>
    <row r="55" spans="2:21" ht="11.25">
      <c r="B55" s="705"/>
      <c r="C55" s="7" t="s">
        <v>285</v>
      </c>
      <c r="D55" s="1108"/>
      <c r="E55" s="732"/>
      <c r="F55" s="732"/>
      <c r="G55" s="943"/>
      <c r="H55" s="732"/>
      <c r="I55" s="732"/>
      <c r="J55" s="732"/>
      <c r="K55" s="1122"/>
      <c r="L55" s="732"/>
      <c r="M55" s="732"/>
      <c r="N55" s="943"/>
      <c r="O55" s="732"/>
      <c r="P55" s="732"/>
      <c r="Q55" s="732"/>
      <c r="R55" s="706"/>
      <c r="T55" s="694"/>
      <c r="U55" s="690"/>
    </row>
    <row r="56" spans="2:21" s="690" customFormat="1" ht="11.25">
      <c r="B56" s="703"/>
      <c r="C56" s="9" t="s">
        <v>286</v>
      </c>
      <c r="D56" s="1105">
        <v>39762</v>
      </c>
      <c r="E56" s="713">
        <v>42085</v>
      </c>
      <c r="F56" s="713">
        <v>40803</v>
      </c>
      <c r="G56" s="124"/>
      <c r="H56" s="713">
        <v>39125</v>
      </c>
      <c r="I56" s="713">
        <v>38216</v>
      </c>
      <c r="J56" s="713">
        <v>37459</v>
      </c>
      <c r="K56" s="1116">
        <v>37051</v>
      </c>
      <c r="L56" s="713"/>
      <c r="M56" s="713">
        <v>37039</v>
      </c>
      <c r="N56" s="124"/>
      <c r="O56" s="713">
        <v>35807</v>
      </c>
      <c r="P56" s="713">
        <v>37226</v>
      </c>
      <c r="Q56" s="713">
        <v>35232</v>
      </c>
      <c r="R56" s="704"/>
      <c r="T56" s="689"/>
      <c r="U56" s="689"/>
    </row>
    <row r="57" spans="2:18" ht="11.25">
      <c r="B57" s="705"/>
      <c r="C57" s="9" t="s">
        <v>502</v>
      </c>
      <c r="D57" s="1105">
        <v>1376</v>
      </c>
      <c r="E57" s="713">
        <v>1395</v>
      </c>
      <c r="F57" s="713">
        <v>1262</v>
      </c>
      <c r="G57" s="124"/>
      <c r="H57" s="713">
        <v>1260</v>
      </c>
      <c r="I57" s="713">
        <v>1249</v>
      </c>
      <c r="J57" s="713">
        <v>1209</v>
      </c>
      <c r="K57" s="1116">
        <v>1151</v>
      </c>
      <c r="L57" s="713"/>
      <c r="M57" s="713">
        <v>1151</v>
      </c>
      <c r="N57" s="124"/>
      <c r="O57" s="713">
        <v>1157</v>
      </c>
      <c r="P57" s="713">
        <v>1350</v>
      </c>
      <c r="Q57" s="713">
        <v>1359</v>
      </c>
      <c r="R57" s="706"/>
    </row>
    <row r="58" spans="2:20" ht="11.25">
      <c r="B58" s="705"/>
      <c r="C58" s="9" t="s">
        <v>287</v>
      </c>
      <c r="D58" s="1105">
        <v>62</v>
      </c>
      <c r="E58" s="713">
        <v>102</v>
      </c>
      <c r="F58" s="713">
        <v>194</v>
      </c>
      <c r="G58" s="124"/>
      <c r="H58" s="713">
        <v>196</v>
      </c>
      <c r="I58" s="713">
        <v>526</v>
      </c>
      <c r="J58" s="713">
        <v>830</v>
      </c>
      <c r="K58" s="1116">
        <v>586</v>
      </c>
      <c r="L58" s="713"/>
      <c r="M58" s="713">
        <v>584</v>
      </c>
      <c r="N58" s="124"/>
      <c r="O58" s="713">
        <v>778</v>
      </c>
      <c r="P58" s="713">
        <v>109</v>
      </c>
      <c r="Q58" s="713">
        <v>242</v>
      </c>
      <c r="R58" s="706"/>
      <c r="T58" s="690"/>
    </row>
    <row r="59" spans="2:18" ht="11.25">
      <c r="B59" s="705"/>
      <c r="C59" s="9" t="s">
        <v>503</v>
      </c>
      <c r="D59" s="1105">
        <v>821</v>
      </c>
      <c r="E59" s="713">
        <v>836</v>
      </c>
      <c r="F59" s="713">
        <v>775</v>
      </c>
      <c r="G59" s="124"/>
      <c r="H59" s="713">
        <v>786</v>
      </c>
      <c r="I59" s="713">
        <v>863</v>
      </c>
      <c r="J59" s="713">
        <v>878</v>
      </c>
      <c r="K59" s="1116">
        <v>903</v>
      </c>
      <c r="L59" s="713"/>
      <c r="M59" s="713">
        <v>902</v>
      </c>
      <c r="N59" s="124"/>
      <c r="O59" s="713">
        <v>912</v>
      </c>
      <c r="P59" s="713">
        <v>775</v>
      </c>
      <c r="Q59" s="713">
        <v>753</v>
      </c>
      <c r="R59" s="706"/>
    </row>
    <row r="60" spans="2:21" ht="12" thickBot="1">
      <c r="B60" s="705"/>
      <c r="C60" s="9" t="s">
        <v>288</v>
      </c>
      <c r="D60" s="1105">
        <v>1962</v>
      </c>
      <c r="E60" s="713">
        <v>1932</v>
      </c>
      <c r="F60" s="713">
        <v>1857</v>
      </c>
      <c r="G60" s="124"/>
      <c r="H60" s="713">
        <v>1836</v>
      </c>
      <c r="I60" s="713">
        <v>1743</v>
      </c>
      <c r="J60" s="713">
        <v>1718</v>
      </c>
      <c r="K60" s="1116">
        <v>1587</v>
      </c>
      <c r="L60" s="713"/>
      <c r="M60" s="713">
        <v>1587</v>
      </c>
      <c r="N60" s="124"/>
      <c r="O60" s="713">
        <v>1566</v>
      </c>
      <c r="P60" s="713">
        <v>1629</v>
      </c>
      <c r="Q60" s="713">
        <v>1644</v>
      </c>
      <c r="R60" s="706"/>
      <c r="U60" s="694"/>
    </row>
    <row r="61" spans="2:21" s="694" customFormat="1" ht="12" thickBot="1">
      <c r="B61" s="710"/>
      <c r="C61" s="718" t="s">
        <v>289</v>
      </c>
      <c r="D61" s="1120">
        <v>43983</v>
      </c>
      <c r="E61" s="719">
        <v>46350</v>
      </c>
      <c r="F61" s="719">
        <v>44891</v>
      </c>
      <c r="G61" s="939"/>
      <c r="H61" s="719">
        <v>43203</v>
      </c>
      <c r="I61" s="719">
        <v>42597</v>
      </c>
      <c r="J61" s="719">
        <v>42094</v>
      </c>
      <c r="K61" s="1121">
        <v>41278</v>
      </c>
      <c r="L61" s="719"/>
      <c r="M61" s="719">
        <v>41263</v>
      </c>
      <c r="N61" s="939"/>
      <c r="O61" s="719">
        <v>40220</v>
      </c>
      <c r="P61" s="719">
        <v>41089</v>
      </c>
      <c r="Q61" s="719">
        <f>+Q56+Q57+Q58+Q59+Q60</f>
        <v>39230</v>
      </c>
      <c r="R61" s="712"/>
      <c r="U61" s="689"/>
    </row>
    <row r="62" spans="2:18" ht="6" customHeight="1">
      <c r="B62" s="705"/>
      <c r="C62" s="733"/>
      <c r="D62" s="1108">
        <v>0</v>
      </c>
      <c r="E62" s="732">
        <v>0</v>
      </c>
      <c r="F62" s="732">
        <v>0</v>
      </c>
      <c r="G62" s="943"/>
      <c r="H62" s="732">
        <v>0</v>
      </c>
      <c r="I62" s="732">
        <v>0</v>
      </c>
      <c r="J62" s="732">
        <v>0</v>
      </c>
      <c r="K62" s="1122"/>
      <c r="L62" s="732"/>
      <c r="M62" s="732"/>
      <c r="N62" s="943"/>
      <c r="O62" s="732"/>
      <c r="P62" s="732"/>
      <c r="Q62" s="732"/>
      <c r="R62" s="706"/>
    </row>
    <row r="63" spans="2:21" ht="11.25">
      <c r="B63" s="705"/>
      <c r="C63" s="7" t="s">
        <v>290</v>
      </c>
      <c r="D63" s="1108"/>
      <c r="E63" s="732"/>
      <c r="F63" s="732"/>
      <c r="G63" s="943"/>
      <c r="H63" s="732"/>
      <c r="I63" s="732"/>
      <c r="J63" s="732"/>
      <c r="K63" s="1122"/>
      <c r="L63" s="732"/>
      <c r="M63" s="732"/>
      <c r="N63" s="943"/>
      <c r="O63" s="732"/>
      <c r="P63" s="732"/>
      <c r="Q63" s="732"/>
      <c r="R63" s="706"/>
      <c r="T63" s="696"/>
      <c r="U63" s="690"/>
    </row>
    <row r="64" spans="2:21" s="690" customFormat="1" ht="11.25">
      <c r="B64" s="703"/>
      <c r="C64" s="9" t="s">
        <v>291</v>
      </c>
      <c r="D64" s="1108">
        <v>5597</v>
      </c>
      <c r="E64" s="732">
        <v>5860</v>
      </c>
      <c r="F64" s="732">
        <v>5653</v>
      </c>
      <c r="G64" s="943"/>
      <c r="H64" s="732">
        <v>5948</v>
      </c>
      <c r="I64" s="732">
        <v>5986</v>
      </c>
      <c r="J64" s="732">
        <v>5653</v>
      </c>
      <c r="K64" s="1122">
        <v>6585</v>
      </c>
      <c r="L64" s="732"/>
      <c r="M64" s="732">
        <v>6590</v>
      </c>
      <c r="N64" s="943"/>
      <c r="O64" s="732">
        <v>6294</v>
      </c>
      <c r="P64" s="732">
        <v>5597</v>
      </c>
      <c r="Q64" s="732">
        <v>7670</v>
      </c>
      <c r="R64" s="704"/>
      <c r="T64" s="689"/>
      <c r="U64" s="689"/>
    </row>
    <row r="65" spans="2:18" ht="11.25">
      <c r="B65" s="705"/>
      <c r="C65" s="26" t="s">
        <v>292</v>
      </c>
      <c r="D65" s="1108">
        <v>10974</v>
      </c>
      <c r="E65" s="732">
        <v>10658</v>
      </c>
      <c r="F65" s="732">
        <v>11596</v>
      </c>
      <c r="G65" s="943"/>
      <c r="H65" s="732">
        <v>11195</v>
      </c>
      <c r="I65" s="732">
        <v>11394</v>
      </c>
      <c r="J65" s="732">
        <v>11241</v>
      </c>
      <c r="K65" s="1122">
        <v>12380</v>
      </c>
      <c r="L65" s="732"/>
      <c r="M65" s="732">
        <v>12210</v>
      </c>
      <c r="N65" s="943"/>
      <c r="O65" s="732">
        <v>11076</v>
      </c>
      <c r="P65" s="732">
        <v>11183</v>
      </c>
      <c r="Q65" s="732">
        <v>10461</v>
      </c>
      <c r="R65" s="706"/>
    </row>
    <row r="66" spans="2:21" ht="12" thickBot="1">
      <c r="B66" s="705"/>
      <c r="C66" s="9" t="s">
        <v>293</v>
      </c>
      <c r="D66" s="1108">
        <v>54</v>
      </c>
      <c r="E66" s="732">
        <v>26</v>
      </c>
      <c r="F66" s="732">
        <v>219</v>
      </c>
      <c r="G66" s="943"/>
      <c r="H66" s="732">
        <v>202</v>
      </c>
      <c r="I66" s="732">
        <v>132</v>
      </c>
      <c r="J66" s="732">
        <v>21</v>
      </c>
      <c r="K66" s="1122">
        <v>197</v>
      </c>
      <c r="L66" s="732"/>
      <c r="M66" s="732">
        <v>197</v>
      </c>
      <c r="N66" s="943"/>
      <c r="O66" s="732">
        <v>148</v>
      </c>
      <c r="P66" s="732">
        <v>501</v>
      </c>
      <c r="Q66" s="732">
        <v>252</v>
      </c>
      <c r="R66" s="706"/>
      <c r="T66" s="694"/>
      <c r="U66" s="694"/>
    </row>
    <row r="67" spans="2:21" s="694" customFormat="1" ht="12" thickBot="1">
      <c r="B67" s="710"/>
      <c r="C67" s="718" t="s">
        <v>294</v>
      </c>
      <c r="D67" s="1120">
        <v>16625</v>
      </c>
      <c r="E67" s="719">
        <v>16544</v>
      </c>
      <c r="F67" s="719">
        <v>17468</v>
      </c>
      <c r="G67" s="939"/>
      <c r="H67" s="719">
        <v>17345</v>
      </c>
      <c r="I67" s="719">
        <v>17512</v>
      </c>
      <c r="J67" s="719">
        <v>16915</v>
      </c>
      <c r="K67" s="1121">
        <v>19162</v>
      </c>
      <c r="L67" s="719"/>
      <c r="M67" s="719">
        <v>18997</v>
      </c>
      <c r="N67" s="939"/>
      <c r="O67" s="719">
        <v>17518</v>
      </c>
      <c r="P67" s="719">
        <v>17281</v>
      </c>
      <c r="Q67" s="719">
        <f>+Q64+Q65+Q66</f>
        <v>18383</v>
      </c>
      <c r="R67" s="712"/>
      <c r="T67" s="698"/>
      <c r="U67" s="689"/>
    </row>
    <row r="68" spans="2:21" ht="6" customHeight="1">
      <c r="B68" s="705"/>
      <c r="C68" s="9"/>
      <c r="D68" s="1108">
        <v>0</v>
      </c>
      <c r="E68" s="732">
        <v>0</v>
      </c>
      <c r="F68" s="732">
        <v>0</v>
      </c>
      <c r="G68" s="943"/>
      <c r="H68" s="732">
        <v>0</v>
      </c>
      <c r="I68" s="732">
        <v>0</v>
      </c>
      <c r="J68" s="732">
        <v>0</v>
      </c>
      <c r="K68" s="1122"/>
      <c r="L68" s="732"/>
      <c r="M68" s="732"/>
      <c r="N68" s="943"/>
      <c r="O68" s="732"/>
      <c r="P68" s="732"/>
      <c r="Q68" s="732"/>
      <c r="R68" s="706"/>
      <c r="T68" s="694"/>
      <c r="U68" s="696"/>
    </row>
    <row r="69" spans="2:21" s="696" customFormat="1" ht="22.5" collapsed="1">
      <c r="B69" s="720"/>
      <c r="C69" s="722" t="s">
        <v>533</v>
      </c>
      <c r="D69" s="1111"/>
      <c r="E69" s="734"/>
      <c r="F69" s="734"/>
      <c r="G69" s="944"/>
      <c r="H69" s="734"/>
      <c r="I69" s="734"/>
      <c r="J69" s="734"/>
      <c r="K69" s="1131"/>
      <c r="L69" s="734"/>
      <c r="M69" s="734"/>
      <c r="N69" s="944"/>
      <c r="O69" s="734"/>
      <c r="P69" s="734"/>
      <c r="Q69" s="734"/>
      <c r="R69" s="721"/>
      <c r="T69" s="689"/>
      <c r="U69" s="689"/>
    </row>
    <row r="70" spans="2:20" ht="11.25">
      <c r="B70" s="705"/>
      <c r="C70" s="9" t="s">
        <v>276</v>
      </c>
      <c r="D70" s="1105">
        <v>0</v>
      </c>
      <c r="E70" s="713">
        <v>0</v>
      </c>
      <c r="F70" s="713">
        <v>0</v>
      </c>
      <c r="G70" s="124"/>
      <c r="H70" s="713">
        <v>0</v>
      </c>
      <c r="I70" s="713">
        <v>0</v>
      </c>
      <c r="J70" s="713">
        <v>0</v>
      </c>
      <c r="K70" s="1116">
        <v>0</v>
      </c>
      <c r="L70" s="713"/>
      <c r="M70" s="713">
        <v>701</v>
      </c>
      <c r="N70" s="124"/>
      <c r="O70" s="713">
        <v>776</v>
      </c>
      <c r="P70" s="713">
        <v>823</v>
      </c>
      <c r="Q70" s="713">
        <v>0</v>
      </c>
      <c r="R70" s="706"/>
      <c r="T70" s="694"/>
    </row>
    <row r="71" spans="2:21" ht="11.25">
      <c r="B71" s="705"/>
      <c r="C71" s="9" t="s">
        <v>277</v>
      </c>
      <c r="D71" s="1105">
        <v>0</v>
      </c>
      <c r="E71" s="713">
        <v>0</v>
      </c>
      <c r="F71" s="713">
        <v>0</v>
      </c>
      <c r="G71" s="124"/>
      <c r="H71" s="713">
        <v>0</v>
      </c>
      <c r="I71" s="713">
        <v>0</v>
      </c>
      <c r="J71" s="713">
        <v>0</v>
      </c>
      <c r="K71" s="1116">
        <v>0</v>
      </c>
      <c r="L71" s="713"/>
      <c r="M71" s="713">
        <v>230</v>
      </c>
      <c r="N71" s="124"/>
      <c r="O71" s="713">
        <v>220</v>
      </c>
      <c r="P71" s="713">
        <v>217</v>
      </c>
      <c r="Q71" s="713">
        <v>0</v>
      </c>
      <c r="R71" s="706"/>
      <c r="U71" s="694"/>
    </row>
    <row r="72" spans="2:21" s="694" customFormat="1" ht="20.25" customHeight="1">
      <c r="B72" s="710"/>
      <c r="C72" s="722"/>
      <c r="D72" s="1132">
        <v>0</v>
      </c>
      <c r="E72" s="735">
        <v>0</v>
      </c>
      <c r="F72" s="735">
        <v>0</v>
      </c>
      <c r="G72" s="945"/>
      <c r="H72" s="735">
        <v>0</v>
      </c>
      <c r="I72" s="735">
        <v>0</v>
      </c>
      <c r="J72" s="735">
        <v>0</v>
      </c>
      <c r="K72" s="1133">
        <v>0</v>
      </c>
      <c r="L72" s="735"/>
      <c r="M72" s="735">
        <v>931</v>
      </c>
      <c r="N72" s="945"/>
      <c r="O72" s="735">
        <v>996</v>
      </c>
      <c r="P72" s="735">
        <v>1040</v>
      </c>
      <c r="Q72" s="735">
        <f>+Q70+Q71</f>
        <v>0</v>
      </c>
      <c r="R72" s="712"/>
      <c r="U72" s="698"/>
    </row>
    <row r="73" spans="2:21" s="698" customFormat="1" ht="12" thickBot="1">
      <c r="B73" s="736"/>
      <c r="C73" s="722"/>
      <c r="D73" s="1107"/>
      <c r="E73" s="737"/>
      <c r="F73" s="737"/>
      <c r="G73" s="125"/>
      <c r="H73" s="737"/>
      <c r="I73" s="737"/>
      <c r="J73" s="737"/>
      <c r="K73" s="1134"/>
      <c r="L73" s="737"/>
      <c r="M73" s="737"/>
      <c r="N73" s="125"/>
      <c r="O73" s="737"/>
      <c r="P73" s="737"/>
      <c r="Q73" s="737"/>
      <c r="R73" s="738"/>
      <c r="T73" s="689"/>
      <c r="U73" s="694"/>
    </row>
    <row r="74" spans="2:21" s="694" customFormat="1" ht="12" thickBot="1">
      <c r="B74" s="710"/>
      <c r="C74" s="718" t="s">
        <v>295</v>
      </c>
      <c r="D74" s="1120">
        <v>16625</v>
      </c>
      <c r="E74" s="719">
        <v>16544</v>
      </c>
      <c r="F74" s="719">
        <v>17468</v>
      </c>
      <c r="G74" s="939"/>
      <c r="H74" s="719">
        <v>17345</v>
      </c>
      <c r="I74" s="719">
        <v>17512</v>
      </c>
      <c r="J74" s="719">
        <v>16915</v>
      </c>
      <c r="K74" s="1121">
        <v>19162</v>
      </c>
      <c r="L74" s="719"/>
      <c r="M74" s="719">
        <v>19928</v>
      </c>
      <c r="N74" s="939"/>
      <c r="O74" s="719">
        <v>18514</v>
      </c>
      <c r="P74" s="719">
        <v>18321</v>
      </c>
      <c r="Q74" s="719">
        <f>+Q72+Q67</f>
        <v>18383</v>
      </c>
      <c r="R74" s="712"/>
      <c r="T74" s="689"/>
      <c r="U74" s="689"/>
    </row>
    <row r="75" spans="2:21" ht="12" thickBot="1">
      <c r="B75" s="705"/>
      <c r="C75" s="9"/>
      <c r="D75" s="1112"/>
      <c r="E75" s="739"/>
      <c r="F75" s="739"/>
      <c r="G75" s="946"/>
      <c r="H75" s="739"/>
      <c r="I75" s="739"/>
      <c r="J75" s="739"/>
      <c r="K75" s="1135"/>
      <c r="L75" s="739"/>
      <c r="M75" s="739"/>
      <c r="N75" s="946"/>
      <c r="O75" s="739"/>
      <c r="P75" s="739"/>
      <c r="Q75" s="739"/>
      <c r="R75" s="706"/>
      <c r="U75" s="694"/>
    </row>
    <row r="76" spans="2:21" s="694" customFormat="1" ht="12" thickBot="1">
      <c r="B76" s="710"/>
      <c r="C76" s="718" t="s">
        <v>296</v>
      </c>
      <c r="D76" s="1120">
        <v>60608</v>
      </c>
      <c r="E76" s="719">
        <v>62894</v>
      </c>
      <c r="F76" s="719">
        <v>62359</v>
      </c>
      <c r="G76" s="939"/>
      <c r="H76" s="719">
        <v>60548</v>
      </c>
      <c r="I76" s="719">
        <v>60109</v>
      </c>
      <c r="J76" s="719">
        <v>59009</v>
      </c>
      <c r="K76" s="1121">
        <v>60440</v>
      </c>
      <c r="L76" s="719"/>
      <c r="M76" s="719">
        <v>61191</v>
      </c>
      <c r="N76" s="939"/>
      <c r="O76" s="719">
        <v>58734</v>
      </c>
      <c r="P76" s="719">
        <v>59410</v>
      </c>
      <c r="Q76" s="719">
        <f>+Q74+Q61</f>
        <v>57613</v>
      </c>
      <c r="R76" s="712"/>
      <c r="T76" s="689"/>
      <c r="U76" s="689"/>
    </row>
    <row r="77" spans="2:21" ht="12" thickBot="1">
      <c r="B77" s="705"/>
      <c r="C77" s="9"/>
      <c r="D77" s="1112"/>
      <c r="E77" s="739"/>
      <c r="F77" s="739"/>
      <c r="G77" s="946"/>
      <c r="H77" s="739"/>
      <c r="I77" s="739"/>
      <c r="J77" s="739"/>
      <c r="K77" s="1135"/>
      <c r="L77" s="739"/>
      <c r="M77" s="739"/>
      <c r="N77" s="946"/>
      <c r="O77" s="739"/>
      <c r="P77" s="739"/>
      <c r="Q77" s="739"/>
      <c r="R77" s="706"/>
      <c r="U77" s="694"/>
    </row>
    <row r="78" spans="2:20" s="694" customFormat="1" ht="12" thickBot="1">
      <c r="B78" s="710"/>
      <c r="C78" s="718" t="s">
        <v>297</v>
      </c>
      <c r="D78" s="1120">
        <v>86168</v>
      </c>
      <c r="E78" s="719">
        <v>89366</v>
      </c>
      <c r="F78" s="719">
        <v>89457</v>
      </c>
      <c r="G78" s="939"/>
      <c r="H78" s="719">
        <v>88501</v>
      </c>
      <c r="I78" s="719">
        <v>86210</v>
      </c>
      <c r="J78" s="719">
        <v>85753</v>
      </c>
      <c r="K78" s="1121">
        <v>87425</v>
      </c>
      <c r="L78" s="719"/>
      <c r="M78" s="719">
        <v>88176</v>
      </c>
      <c r="N78" s="939"/>
      <c r="O78" s="719">
        <v>85885</v>
      </c>
      <c r="P78" s="719">
        <v>85868</v>
      </c>
      <c r="Q78" s="719">
        <f>+Q53+Q76</f>
        <v>84365</v>
      </c>
      <c r="R78" s="712"/>
      <c r="T78" s="689"/>
    </row>
    <row r="79" spans="2:21" s="694" customFormat="1" ht="11.25">
      <c r="B79" s="710"/>
      <c r="C79" s="1227" t="s">
        <v>496</v>
      </c>
      <c r="D79" s="1136"/>
      <c r="E79" s="1137"/>
      <c r="F79" s="1137"/>
      <c r="G79" s="1138"/>
      <c r="H79" s="1137"/>
      <c r="I79" s="1137"/>
      <c r="J79" s="1137"/>
      <c r="K79" s="1139"/>
      <c r="L79" s="737"/>
      <c r="M79" s="737"/>
      <c r="N79" s="125"/>
      <c r="O79" s="737"/>
      <c r="P79" s="737"/>
      <c r="Q79" s="737"/>
      <c r="R79" s="712"/>
      <c r="T79" s="689"/>
      <c r="U79" s="689"/>
    </row>
    <row r="80" spans="2:18" ht="11.25">
      <c r="B80" s="740"/>
      <c r="C80" s="776"/>
      <c r="D80" s="741"/>
      <c r="E80" s="741"/>
      <c r="F80" s="741"/>
      <c r="G80" s="947"/>
      <c r="H80" s="741"/>
      <c r="I80" s="741"/>
      <c r="J80" s="741"/>
      <c r="K80" s="741"/>
      <c r="L80" s="741"/>
      <c r="M80" s="741"/>
      <c r="N80" s="947"/>
      <c r="O80" s="741"/>
      <c r="P80" s="741"/>
      <c r="Q80" s="741"/>
      <c r="R80" s="742"/>
    </row>
    <row r="81" ht="13.5">
      <c r="E81" s="700"/>
    </row>
    <row r="82" ht="13.5">
      <c r="E82" s="700"/>
    </row>
  </sheetData>
  <sheetProtection password="DAD6" sheet="1" formatCells="0" formatColumns="0" formatRows="0" insertColumns="0" insertRows="0" insertHyperlinks="0" deleteColumns="0" deleteRows="0" sort="0" autoFilter="0" pivotTables="0"/>
  <mergeCells count="2">
    <mergeCell ref="D4:K4"/>
    <mergeCell ref="M4:O4"/>
  </mergeCells>
  <hyperlinks>
    <hyperlink ref="T10" location="'Domestic Business Results'!A1" display="Domestic Business Results"/>
    <hyperlink ref="T11" location="'Domestic Wireline Results'!A1" display="Domestic Wireline Results"/>
    <hyperlink ref="T12" location="'Domestic Mobile Results'!A1" display="Domestic Mobile Results"/>
    <hyperlink ref="T13" location="'TIM Brasil Results'!A1" display="TIM Brasil Results"/>
    <hyperlink ref="T14" location="'European BroadBand'!A1" display="European BroadBand"/>
    <hyperlink ref="T18" location="'Main Group''s Subsidiries'!A1" display="Main Group's Subsidiaries"/>
    <hyperlink ref="T7" location="'Key fin data by BU YTD'!A1" display="Key Financial data by BU YTD"/>
    <hyperlink ref="T19" location="'Analyst Tools'!A1" display="Analyst Tools"/>
    <hyperlink ref="T20" location="'Historic Data'!A1" display="Historic Data"/>
    <hyperlink ref="T6" location="'P&amp;L Group by quarter'!A1" display="P&amp;L Group by quarter"/>
    <hyperlink ref="T8" location="'Key fin. data by BU by quarter'!A1" display="Key Financial data by quarter"/>
    <hyperlink ref="T5" location="'P&amp;L Group YTD'!A1" display="P&amp;L Group YTD"/>
    <hyperlink ref="T9" location="'Cashflow Statement'!A1" display="Cashflow Statement"/>
    <hyperlink ref="T15" location="'1Q Rep&amp;org.'!A1" display="Repoerted &amp; Organic figures"/>
    <hyperlink ref="T16" location="'2Q Rep&amp;org.'!A1" display="Reported &amp; Organic figures 2Q08 vs 2Q07"/>
    <hyperlink ref="T17" location="'3Q Rep&amp;org.'!A1" display="Reported &amp; Organic figures 3Q08 vs 3Q07"/>
    <hyperlink ref="T21" location="Cover!A1" display="Cover"/>
  </hyperlinks>
  <printOptions horizontalCentered="1"/>
  <pageMargins left="0" right="0" top="0.17" bottom="0.25" header="0.5118110236220472" footer="0.15748031496062992"/>
  <pageSetup fitToHeight="1" fitToWidth="1" horizontalDpi="600" verticalDpi="600" orientation="landscape" paperSize="9" scale="61" r:id="rId2"/>
  <drawing r:id="rId1"/>
</worksheet>
</file>

<file path=xl/worksheets/sheet7.xml><?xml version="1.0" encoding="utf-8"?>
<worksheet xmlns="http://schemas.openxmlformats.org/spreadsheetml/2006/main" xmlns:r="http://schemas.openxmlformats.org/officeDocument/2006/relationships">
  <sheetPr codeName="Foglio17">
    <pageSetUpPr fitToPage="1"/>
  </sheetPr>
  <dimension ref="B2:X134"/>
  <sheetViews>
    <sheetView showGridLines="0" zoomScaleSheetLayoutView="75" workbookViewId="0" topLeftCell="A1">
      <pane xSplit="3" ySplit="5" topLeftCell="D6" activePane="bottomRight" state="frozen"/>
      <selection pane="topLeft" activeCell="E16" sqref="E16"/>
      <selection pane="topRight" activeCell="E16" sqref="E16"/>
      <selection pane="bottomLeft" activeCell="E16" sqref="E16"/>
      <selection pane="bottomRight" activeCell="C2" sqref="C2"/>
    </sheetView>
  </sheetViews>
  <sheetFormatPr defaultColWidth="9.140625" defaultRowHeight="12.75"/>
  <cols>
    <col min="1" max="1" width="1.421875" style="695" customWidth="1"/>
    <col min="2" max="2" width="5.57421875" style="695" customWidth="1"/>
    <col min="3" max="3" width="68.28125" style="695" customWidth="1"/>
    <col min="4" max="4" width="14.421875" style="671" hidden="1" customWidth="1"/>
    <col min="5" max="5" width="13.28125" style="671" hidden="1" customWidth="1"/>
    <col min="6" max="7" width="14.421875" style="671" hidden="1" customWidth="1"/>
    <col min="8" max="8" width="1.1484375" style="671" hidden="1" customWidth="1"/>
    <col min="9" max="12" width="14.421875" style="671" hidden="1" customWidth="1"/>
    <col min="13" max="14" width="1.7109375" style="671" hidden="1" customWidth="1"/>
    <col min="15" max="17" width="14.421875" style="671" customWidth="1"/>
    <col min="18" max="18" width="1.1484375" style="671" customWidth="1"/>
    <col min="19" max="21" width="14.421875" style="671" customWidth="1"/>
    <col min="22" max="22" width="1.421875" style="744" customWidth="1"/>
    <col min="23" max="23" width="2.140625" style="695" customWidth="1"/>
    <col min="24" max="24" width="29.8515625" style="695" customWidth="1"/>
    <col min="25" max="16384" width="9.140625" style="695" customWidth="1"/>
  </cols>
  <sheetData>
    <row r="2" spans="2:24" ht="15.75">
      <c r="B2" s="1175"/>
      <c r="C2" s="1174"/>
      <c r="D2" s="1174"/>
      <c r="E2" s="1174"/>
      <c r="F2" s="1174"/>
      <c r="G2" s="1174"/>
      <c r="H2" s="1174"/>
      <c r="I2" s="1174"/>
      <c r="J2" s="1174"/>
      <c r="K2" s="1174"/>
      <c r="L2" s="795"/>
      <c r="M2" s="949"/>
      <c r="N2" s="949"/>
      <c r="O2" s="795"/>
      <c r="P2" s="795"/>
      <c r="Q2" s="795"/>
      <c r="R2" s="949"/>
      <c r="S2" s="795"/>
      <c r="T2" s="795"/>
      <c r="U2" s="795"/>
      <c r="V2" s="1415"/>
      <c r="X2" s="1244"/>
    </row>
    <row r="3" spans="2:24" ht="34.5" customHeight="1">
      <c r="B3" s="959"/>
      <c r="C3" s="669"/>
      <c r="D3" s="1507" t="s">
        <v>342</v>
      </c>
      <c r="E3" s="1508"/>
      <c r="F3" s="1508"/>
      <c r="G3" s="1508"/>
      <c r="H3" s="1508"/>
      <c r="I3" s="1508"/>
      <c r="J3" s="1508"/>
      <c r="K3" s="1508"/>
      <c r="L3" s="1509"/>
      <c r="M3" s="868"/>
      <c r="N3" s="868"/>
      <c r="O3" s="1506" t="s">
        <v>373</v>
      </c>
      <c r="P3" s="1506"/>
      <c r="Q3" s="1506"/>
      <c r="R3" s="1506"/>
      <c r="S3" s="1506"/>
      <c r="T3" s="115"/>
      <c r="U3" s="115"/>
      <c r="V3" s="1416"/>
      <c r="X3" s="1348"/>
    </row>
    <row r="4" spans="2:24" s="743" customFormat="1" ht="34.5" customHeight="1">
      <c r="B4" s="1176" t="s">
        <v>11</v>
      </c>
      <c r="C4" s="752"/>
      <c r="D4" s="1113" t="s">
        <v>2</v>
      </c>
      <c r="E4" s="854" t="s">
        <v>86</v>
      </c>
      <c r="F4" s="854" t="s">
        <v>87</v>
      </c>
      <c r="G4" s="854" t="s">
        <v>88</v>
      </c>
      <c r="H4" s="132"/>
      <c r="I4" s="753" t="s">
        <v>6</v>
      </c>
      <c r="J4" s="753" t="s">
        <v>148</v>
      </c>
      <c r="K4" s="753" t="s">
        <v>149</v>
      </c>
      <c r="L4" s="1141" t="s">
        <v>226</v>
      </c>
      <c r="M4" s="132"/>
      <c r="N4" s="132"/>
      <c r="O4" s="955" t="s">
        <v>341</v>
      </c>
      <c r="P4" s="955" t="s">
        <v>495</v>
      </c>
      <c r="Q4" s="955" t="s">
        <v>540</v>
      </c>
      <c r="R4" s="132"/>
      <c r="S4" s="854" t="s">
        <v>339</v>
      </c>
      <c r="T4" s="854" t="s">
        <v>434</v>
      </c>
      <c r="U4" s="854" t="s">
        <v>536</v>
      </c>
      <c r="V4" s="1417"/>
      <c r="X4" s="30" t="s">
        <v>59</v>
      </c>
    </row>
    <row r="5" spans="2:24" s="743" customFormat="1" ht="2.25" customHeight="1">
      <c r="B5" s="1177"/>
      <c r="C5" s="754"/>
      <c r="D5" s="1142"/>
      <c r="E5" s="755"/>
      <c r="F5" s="755"/>
      <c r="G5" s="869"/>
      <c r="H5" s="869"/>
      <c r="I5" s="755"/>
      <c r="J5" s="755"/>
      <c r="K5" s="755"/>
      <c r="L5" s="1143"/>
      <c r="M5" s="755"/>
      <c r="N5" s="755"/>
      <c r="O5" s="755"/>
      <c r="P5" s="755"/>
      <c r="Q5" s="755"/>
      <c r="R5" s="755"/>
      <c r="S5" s="755"/>
      <c r="T5" s="755"/>
      <c r="U5" s="755"/>
      <c r="V5" s="1127"/>
      <c r="X5" s="31" t="s">
        <v>56</v>
      </c>
    </row>
    <row r="6" spans="2:24" ht="11.25">
      <c r="B6" s="705"/>
      <c r="C6" s="26"/>
      <c r="D6" s="703"/>
      <c r="E6" s="9"/>
      <c r="F6" s="9"/>
      <c r="G6" s="869"/>
      <c r="H6" s="869"/>
      <c r="I6" s="9"/>
      <c r="J6" s="9"/>
      <c r="K6" s="9"/>
      <c r="L6" s="704"/>
      <c r="M6" s="9"/>
      <c r="N6" s="9"/>
      <c r="O6" s="9"/>
      <c r="P6" s="9"/>
      <c r="Q6" s="9"/>
      <c r="R6" s="9"/>
      <c r="S6" s="9"/>
      <c r="T6" s="9"/>
      <c r="U6" s="9"/>
      <c r="V6" s="1418"/>
      <c r="X6" s="139" t="s">
        <v>206</v>
      </c>
    </row>
    <row r="7" spans="2:24" ht="11.25">
      <c r="B7" s="720" t="s">
        <v>229</v>
      </c>
      <c r="C7" s="7"/>
      <c r="D7" s="1144"/>
      <c r="E7" s="224"/>
      <c r="F7" s="224"/>
      <c r="G7" s="869"/>
      <c r="H7" s="869"/>
      <c r="I7" s="224"/>
      <c r="J7" s="224"/>
      <c r="K7" s="224"/>
      <c r="L7" s="1033"/>
      <c r="M7" s="224"/>
      <c r="N7" s="224"/>
      <c r="O7" s="224"/>
      <c r="P7" s="224"/>
      <c r="Q7" s="224"/>
      <c r="R7" s="224"/>
      <c r="S7" s="224"/>
      <c r="T7" s="224"/>
      <c r="U7" s="224"/>
      <c r="V7" s="1119"/>
      <c r="X7" s="139" t="s">
        <v>208</v>
      </c>
    </row>
    <row r="8" spans="2:24" ht="11.25">
      <c r="B8" s="703" t="s">
        <v>504</v>
      </c>
      <c r="C8" s="9"/>
      <c r="D8" s="1145">
        <v>761</v>
      </c>
      <c r="E8" s="756">
        <v>1427</v>
      </c>
      <c r="F8" s="756">
        <v>2305</v>
      </c>
      <c r="G8" s="757">
        <v>2996</v>
      </c>
      <c r="H8" s="757"/>
      <c r="I8" s="757">
        <v>775</v>
      </c>
      <c r="J8" s="757">
        <v>1506</v>
      </c>
      <c r="K8" s="757">
        <v>2212</v>
      </c>
      <c r="L8" s="1146">
        <v>2419</v>
      </c>
      <c r="M8" s="757"/>
      <c r="N8" s="757"/>
      <c r="O8" s="757">
        <v>835</v>
      </c>
      <c r="P8" s="757">
        <v>1625</v>
      </c>
      <c r="Q8" s="757">
        <v>2382</v>
      </c>
      <c r="R8" s="757"/>
      <c r="S8" s="757">
        <v>557</v>
      </c>
      <c r="T8" s="757">
        <v>1256</v>
      </c>
      <c r="U8" s="757">
        <v>1759</v>
      </c>
      <c r="V8" s="1419"/>
      <c r="X8" s="139" t="s">
        <v>207</v>
      </c>
    </row>
    <row r="9" spans="2:24" ht="11.25">
      <c r="B9" s="1511" t="s">
        <v>505</v>
      </c>
      <c r="C9" s="1512">
        <v>0</v>
      </c>
      <c r="D9" s="1147"/>
      <c r="E9" s="758"/>
      <c r="F9" s="758"/>
      <c r="G9" s="757"/>
      <c r="H9" s="757"/>
      <c r="I9" s="758"/>
      <c r="J9" s="758"/>
      <c r="K9" s="758"/>
      <c r="L9" s="1148"/>
      <c r="M9" s="758"/>
      <c r="N9" s="758"/>
      <c r="O9" s="758"/>
      <c r="P9" s="758"/>
      <c r="Q9" s="758"/>
      <c r="R9" s="758"/>
      <c r="S9" s="758"/>
      <c r="T9" s="758"/>
      <c r="U9" s="758"/>
      <c r="V9" s="1420"/>
      <c r="X9" s="139" t="s">
        <v>223</v>
      </c>
    </row>
    <row r="10" spans="2:24" ht="11.25">
      <c r="B10" s="1178"/>
      <c r="C10" s="9" t="s">
        <v>230</v>
      </c>
      <c r="D10" s="1145">
        <v>1428</v>
      </c>
      <c r="E10" s="756">
        <v>2843</v>
      </c>
      <c r="F10" s="756">
        <v>4278</v>
      </c>
      <c r="G10" s="757">
        <v>5487</v>
      </c>
      <c r="H10" s="757"/>
      <c r="I10" s="757">
        <v>1400</v>
      </c>
      <c r="J10" s="757">
        <v>2853</v>
      </c>
      <c r="K10" s="757">
        <v>4301</v>
      </c>
      <c r="L10" s="1146">
        <v>5811</v>
      </c>
      <c r="M10" s="757"/>
      <c r="N10" s="757"/>
      <c r="O10" s="757">
        <v>1373</v>
      </c>
      <c r="P10" s="757">
        <v>2793</v>
      </c>
      <c r="Q10" s="757">
        <v>4209</v>
      </c>
      <c r="R10" s="757"/>
      <c r="S10" s="757">
        <v>1463</v>
      </c>
      <c r="T10" s="757">
        <v>2952</v>
      </c>
      <c r="U10" s="757">
        <v>4437</v>
      </c>
      <c r="V10" s="1419"/>
      <c r="X10" s="139" t="s">
        <v>310</v>
      </c>
    </row>
    <row r="11" spans="2:24" ht="11.25">
      <c r="B11" s="703"/>
      <c r="C11" s="9" t="s">
        <v>506</v>
      </c>
      <c r="D11" s="1145">
        <v>4</v>
      </c>
      <c r="E11" s="756">
        <v>33</v>
      </c>
      <c r="F11" s="756">
        <v>13</v>
      </c>
      <c r="G11" s="757">
        <v>1</v>
      </c>
      <c r="H11" s="757"/>
      <c r="I11" s="757">
        <v>-93</v>
      </c>
      <c r="J11" s="757">
        <v>-103</v>
      </c>
      <c r="K11" s="757">
        <v>-103</v>
      </c>
      <c r="L11" s="1146">
        <v>-31</v>
      </c>
      <c r="M11" s="757"/>
      <c r="N11" s="757"/>
      <c r="O11" s="757">
        <v>-93</v>
      </c>
      <c r="P11" s="757">
        <v>-103</v>
      </c>
      <c r="Q11" s="757">
        <v>-103</v>
      </c>
      <c r="R11" s="757"/>
      <c r="S11" s="757">
        <v>31</v>
      </c>
      <c r="T11" s="757">
        <v>111</v>
      </c>
      <c r="U11" s="757">
        <v>197</v>
      </c>
      <c r="V11" s="1419"/>
      <c r="X11" s="139" t="s">
        <v>12</v>
      </c>
    </row>
    <row r="12" spans="2:24" ht="11.25">
      <c r="B12" s="703"/>
      <c r="C12" s="9" t="s">
        <v>231</v>
      </c>
      <c r="D12" s="1145">
        <v>238</v>
      </c>
      <c r="E12" s="756">
        <v>904</v>
      </c>
      <c r="F12" s="756">
        <v>1376</v>
      </c>
      <c r="G12" s="757">
        <v>1843</v>
      </c>
      <c r="H12" s="757"/>
      <c r="I12" s="757">
        <v>289</v>
      </c>
      <c r="J12" s="757">
        <v>925</v>
      </c>
      <c r="K12" s="757">
        <v>1256</v>
      </c>
      <c r="L12" s="1146">
        <v>930</v>
      </c>
      <c r="M12" s="757"/>
      <c r="N12" s="757"/>
      <c r="O12" s="757">
        <v>289</v>
      </c>
      <c r="P12" s="757">
        <v>925</v>
      </c>
      <c r="Q12" s="757">
        <v>1257</v>
      </c>
      <c r="R12" s="757"/>
      <c r="S12" s="757">
        <v>343</v>
      </c>
      <c r="T12" s="757">
        <v>-466</v>
      </c>
      <c r="U12" s="757">
        <v>-248</v>
      </c>
      <c r="V12" s="1419"/>
      <c r="X12" s="139" t="s">
        <v>220</v>
      </c>
    </row>
    <row r="13" spans="2:24" ht="11.25">
      <c r="B13" s="703"/>
      <c r="C13" s="9" t="s">
        <v>507</v>
      </c>
      <c r="D13" s="1145">
        <v>-118</v>
      </c>
      <c r="E13" s="756">
        <v>-262</v>
      </c>
      <c r="F13" s="756">
        <v>-297</v>
      </c>
      <c r="G13" s="757">
        <v>-317</v>
      </c>
      <c r="H13" s="757"/>
      <c r="I13" s="757">
        <v>-9</v>
      </c>
      <c r="J13" s="757">
        <v>-9</v>
      </c>
      <c r="K13" s="757">
        <v>-149</v>
      </c>
      <c r="L13" s="1146">
        <v>-467</v>
      </c>
      <c r="M13" s="757"/>
      <c r="N13" s="757"/>
      <c r="O13" s="757">
        <v>-11</v>
      </c>
      <c r="P13" s="757">
        <v>-14</v>
      </c>
      <c r="Q13" s="757">
        <v>-155</v>
      </c>
      <c r="R13" s="757"/>
      <c r="S13" s="757">
        <v>-26</v>
      </c>
      <c r="T13" s="757">
        <v>-26</v>
      </c>
      <c r="U13" s="757">
        <v>-26</v>
      </c>
      <c r="V13" s="1419"/>
      <c r="X13" s="139" t="s">
        <v>221</v>
      </c>
    </row>
    <row r="14" spans="2:24" ht="11.25">
      <c r="B14" s="703"/>
      <c r="C14" s="9" t="s">
        <v>521</v>
      </c>
      <c r="D14" s="1145">
        <v>-12</v>
      </c>
      <c r="E14" s="756">
        <v>-25</v>
      </c>
      <c r="F14" s="756">
        <v>-33</v>
      </c>
      <c r="G14" s="757">
        <v>-51</v>
      </c>
      <c r="H14" s="757"/>
      <c r="I14" s="757">
        <v>-29</v>
      </c>
      <c r="J14" s="757">
        <v>-58</v>
      </c>
      <c r="K14" s="757">
        <v>-75</v>
      </c>
      <c r="L14" s="1146">
        <v>-86</v>
      </c>
      <c r="M14" s="757"/>
      <c r="N14" s="757"/>
      <c r="O14" s="757">
        <v>-29</v>
      </c>
      <c r="P14" s="757">
        <v>-58</v>
      </c>
      <c r="Q14" s="757">
        <v>-75</v>
      </c>
      <c r="R14" s="757"/>
      <c r="S14" s="757">
        <v>-19</v>
      </c>
      <c r="T14" s="757">
        <v>-37</v>
      </c>
      <c r="U14" s="757">
        <v>-53</v>
      </c>
      <c r="V14" s="1419"/>
      <c r="X14" s="139" t="s">
        <v>222</v>
      </c>
    </row>
    <row r="15" spans="2:24" ht="11.25">
      <c r="B15" s="703"/>
      <c r="C15" s="9" t="s">
        <v>508</v>
      </c>
      <c r="D15" s="1145">
        <v>-16</v>
      </c>
      <c r="E15" s="756">
        <v>-11</v>
      </c>
      <c r="F15" s="756">
        <v>-18</v>
      </c>
      <c r="G15" s="757">
        <v>-114</v>
      </c>
      <c r="H15" s="757"/>
      <c r="I15" s="757">
        <v>-8</v>
      </c>
      <c r="J15" s="757">
        <v>-32</v>
      </c>
      <c r="K15" s="757">
        <v>-105</v>
      </c>
      <c r="L15" s="1146">
        <v>-216</v>
      </c>
      <c r="M15" s="757"/>
      <c r="N15" s="757"/>
      <c r="O15" s="757">
        <v>-8</v>
      </c>
      <c r="P15" s="757">
        <v>-31</v>
      </c>
      <c r="Q15" s="757">
        <v>-105</v>
      </c>
      <c r="R15" s="757"/>
      <c r="S15" s="757">
        <v>4</v>
      </c>
      <c r="T15" s="757">
        <v>292</v>
      </c>
      <c r="U15" s="757">
        <v>301</v>
      </c>
      <c r="V15" s="1419"/>
      <c r="X15" s="139" t="s">
        <v>8</v>
      </c>
    </row>
    <row r="16" spans="2:24" ht="11.25">
      <c r="B16" s="703"/>
      <c r="C16" s="9" t="s">
        <v>232</v>
      </c>
      <c r="D16" s="1145"/>
      <c r="E16" s="756"/>
      <c r="F16" s="756"/>
      <c r="G16" s="757"/>
      <c r="H16" s="757"/>
      <c r="I16" s="757"/>
      <c r="J16" s="757"/>
      <c r="K16" s="757"/>
      <c r="L16" s="1146"/>
      <c r="M16" s="757"/>
      <c r="N16" s="757"/>
      <c r="O16" s="757"/>
      <c r="P16" s="757"/>
      <c r="Q16" s="757"/>
      <c r="R16" s="757"/>
      <c r="S16" s="9"/>
      <c r="T16" s="9"/>
      <c r="U16" s="9"/>
      <c r="V16" s="1419"/>
      <c r="X16" s="139" t="s">
        <v>534</v>
      </c>
    </row>
    <row r="17" spans="2:24" ht="11.25">
      <c r="B17" s="703"/>
      <c r="C17" s="8" t="s">
        <v>233</v>
      </c>
      <c r="D17" s="1145">
        <v>-16</v>
      </c>
      <c r="E17" s="756">
        <v>-69</v>
      </c>
      <c r="F17" s="756">
        <v>-65</v>
      </c>
      <c r="G17" s="757">
        <v>0</v>
      </c>
      <c r="H17" s="757"/>
      <c r="I17" s="757">
        <v>-37</v>
      </c>
      <c r="J17" s="757">
        <v>-26</v>
      </c>
      <c r="K17" s="757">
        <v>-71</v>
      </c>
      <c r="L17" s="1146">
        <v>-17</v>
      </c>
      <c r="M17" s="757"/>
      <c r="N17" s="757"/>
      <c r="O17" s="757">
        <v>-37</v>
      </c>
      <c r="P17" s="757">
        <v>-26</v>
      </c>
      <c r="Q17" s="757">
        <v>-70</v>
      </c>
      <c r="R17" s="757"/>
      <c r="S17" s="757">
        <v>-23</v>
      </c>
      <c r="T17" s="757">
        <v>-21</v>
      </c>
      <c r="U17" s="757">
        <v>-56</v>
      </c>
      <c r="V17" s="1419"/>
      <c r="X17" s="139" t="s">
        <v>535</v>
      </c>
    </row>
    <row r="18" spans="2:24" ht="11.25">
      <c r="B18" s="703"/>
      <c r="C18" s="8" t="s">
        <v>234</v>
      </c>
      <c r="D18" s="1145">
        <v>-35</v>
      </c>
      <c r="E18" s="756">
        <v>-510</v>
      </c>
      <c r="F18" s="756">
        <v>-321</v>
      </c>
      <c r="G18" s="757">
        <v>-461</v>
      </c>
      <c r="H18" s="757"/>
      <c r="I18" s="757">
        <v>56</v>
      </c>
      <c r="J18" s="757">
        <v>-491</v>
      </c>
      <c r="K18" s="757">
        <v>-380</v>
      </c>
      <c r="L18" s="1146">
        <v>101</v>
      </c>
      <c r="M18" s="757"/>
      <c r="N18" s="757"/>
      <c r="O18" s="757">
        <v>46</v>
      </c>
      <c r="P18" s="757">
        <v>-503</v>
      </c>
      <c r="Q18" s="757">
        <v>-382</v>
      </c>
      <c r="R18" s="757"/>
      <c r="S18" s="757">
        <v>511</v>
      </c>
      <c r="T18" s="757">
        <v>56</v>
      </c>
      <c r="U18" s="757">
        <v>747</v>
      </c>
      <c r="V18" s="1419"/>
      <c r="X18" s="139" t="s">
        <v>545</v>
      </c>
    </row>
    <row r="19" spans="2:24" ht="11.25">
      <c r="B19" s="703"/>
      <c r="C19" s="8" t="s">
        <v>235</v>
      </c>
      <c r="D19" s="1145">
        <v>-624</v>
      </c>
      <c r="E19" s="756">
        <v>-826</v>
      </c>
      <c r="F19" s="756">
        <v>-840</v>
      </c>
      <c r="G19" s="757">
        <v>-10</v>
      </c>
      <c r="H19" s="757"/>
      <c r="I19" s="757">
        <v>-411</v>
      </c>
      <c r="J19" s="757">
        <v>-244</v>
      </c>
      <c r="K19" s="757">
        <v>8</v>
      </c>
      <c r="L19" s="1146">
        <v>748</v>
      </c>
      <c r="M19" s="757"/>
      <c r="N19" s="757"/>
      <c r="O19" s="757">
        <v>-388</v>
      </c>
      <c r="P19" s="757">
        <v>-180</v>
      </c>
      <c r="Q19" s="757">
        <v>42</v>
      </c>
      <c r="R19" s="757"/>
      <c r="S19" s="757">
        <v>-1003</v>
      </c>
      <c r="T19" s="757">
        <v>-1076</v>
      </c>
      <c r="U19" s="757">
        <v>-1298</v>
      </c>
      <c r="V19" s="1419"/>
      <c r="X19" s="139" t="s">
        <v>109</v>
      </c>
    </row>
    <row r="20" spans="2:24" ht="11.25">
      <c r="B20" s="703"/>
      <c r="C20" s="8" t="s">
        <v>236</v>
      </c>
      <c r="D20" s="1145">
        <v>187</v>
      </c>
      <c r="E20" s="756">
        <v>-276</v>
      </c>
      <c r="F20" s="756">
        <v>-729</v>
      </c>
      <c r="G20" s="757">
        <v>-180</v>
      </c>
      <c r="H20" s="757"/>
      <c r="I20" s="757">
        <v>382</v>
      </c>
      <c r="J20" s="757">
        <v>-66</v>
      </c>
      <c r="K20" s="757">
        <v>-245</v>
      </c>
      <c r="L20" s="1146">
        <v>-502</v>
      </c>
      <c r="M20" s="757"/>
      <c r="N20" s="757"/>
      <c r="O20" s="757">
        <v>365</v>
      </c>
      <c r="P20" s="757">
        <v>-77</v>
      </c>
      <c r="Q20" s="757">
        <v>-263</v>
      </c>
      <c r="R20" s="757"/>
      <c r="S20" s="757">
        <v>96</v>
      </c>
      <c r="T20" s="757">
        <v>580</v>
      </c>
      <c r="U20" s="757">
        <v>86</v>
      </c>
      <c r="V20" s="1419"/>
      <c r="X20" s="139" t="s">
        <v>157</v>
      </c>
    </row>
    <row r="21" spans="2:24" ht="11.25">
      <c r="B21" s="703"/>
      <c r="C21" s="9"/>
      <c r="D21" s="1145"/>
      <c r="E21" s="756"/>
      <c r="F21" s="756"/>
      <c r="G21" s="757"/>
      <c r="H21" s="757"/>
      <c r="I21" s="757"/>
      <c r="J21" s="757"/>
      <c r="K21" s="757"/>
      <c r="L21" s="1146"/>
      <c r="M21" s="757"/>
      <c r="N21" s="757"/>
      <c r="O21" s="757"/>
      <c r="P21" s="757"/>
      <c r="Q21" s="757"/>
      <c r="R21" s="757"/>
      <c r="S21" s="757"/>
      <c r="T21" s="757"/>
      <c r="U21" s="757"/>
      <c r="V21" s="1419"/>
      <c r="X21" s="1469" t="s">
        <v>382</v>
      </c>
    </row>
    <row r="22" spans="2:24" s="673" customFormat="1" ht="11.25">
      <c r="B22" s="1179" t="s">
        <v>509</v>
      </c>
      <c r="C22" s="761"/>
      <c r="D22" s="1149">
        <v>1797</v>
      </c>
      <c r="E22" s="762">
        <v>3228</v>
      </c>
      <c r="F22" s="762">
        <v>5669</v>
      </c>
      <c r="G22" s="762">
        <v>9194</v>
      </c>
      <c r="H22" s="762"/>
      <c r="I22" s="762">
        <v>2315</v>
      </c>
      <c r="J22" s="762">
        <v>4255</v>
      </c>
      <c r="K22" s="762">
        <v>6649</v>
      </c>
      <c r="L22" s="1150">
        <v>8690</v>
      </c>
      <c r="M22" s="762"/>
      <c r="N22" s="762"/>
      <c r="O22" s="762">
        <v>2342</v>
      </c>
      <c r="P22" s="762">
        <v>4351</v>
      </c>
      <c r="Q22" s="762">
        <v>6737</v>
      </c>
      <c r="R22" s="762"/>
      <c r="S22" s="762">
        <v>1934</v>
      </c>
      <c r="T22" s="762">
        <v>3621</v>
      </c>
      <c r="U22" s="762">
        <v>5846</v>
      </c>
      <c r="V22" s="1421"/>
      <c r="X22" s="162" t="s">
        <v>312</v>
      </c>
    </row>
    <row r="23" spans="2:24" ht="11.25">
      <c r="B23" s="703"/>
      <c r="C23" s="9"/>
      <c r="D23" s="1145"/>
      <c r="E23" s="756"/>
      <c r="F23" s="756"/>
      <c r="G23" s="779"/>
      <c r="H23" s="779"/>
      <c r="I23" s="756"/>
      <c r="J23" s="756"/>
      <c r="K23" s="756"/>
      <c r="L23" s="1151"/>
      <c r="M23" s="756"/>
      <c r="N23" s="756"/>
      <c r="O23" s="756"/>
      <c r="P23" s="756"/>
      <c r="Q23" s="756"/>
      <c r="R23" s="756"/>
      <c r="S23" s="756"/>
      <c r="T23" s="756"/>
      <c r="U23" s="756"/>
      <c r="V23" s="1419"/>
      <c r="X23" s="671"/>
    </row>
    <row r="24" spans="2:24" ht="11.25">
      <c r="B24" s="720" t="s">
        <v>237</v>
      </c>
      <c r="C24" s="7"/>
      <c r="D24" s="1145"/>
      <c r="E24" s="756"/>
      <c r="F24" s="756"/>
      <c r="G24" s="779"/>
      <c r="H24" s="779"/>
      <c r="I24" s="757"/>
      <c r="J24" s="757"/>
      <c r="K24" s="757"/>
      <c r="L24" s="1146"/>
      <c r="M24" s="757"/>
      <c r="N24" s="757"/>
      <c r="O24" s="757"/>
      <c r="P24" s="757"/>
      <c r="Q24" s="757"/>
      <c r="R24" s="757"/>
      <c r="S24" s="757"/>
      <c r="T24" s="757"/>
      <c r="U24" s="757"/>
      <c r="V24" s="1419"/>
      <c r="X24" s="671"/>
    </row>
    <row r="25" spans="2:24" s="672" customFormat="1" ht="11.25">
      <c r="B25" s="1178"/>
      <c r="C25" s="763" t="s">
        <v>510</v>
      </c>
      <c r="D25" s="1152">
        <v>-411</v>
      </c>
      <c r="E25" s="764">
        <v>-885</v>
      </c>
      <c r="F25" s="764">
        <v>-1295</v>
      </c>
      <c r="G25" s="765">
        <v>-2187</v>
      </c>
      <c r="H25" s="765"/>
      <c r="I25" s="765">
        <v>-478</v>
      </c>
      <c r="J25" s="765">
        <v>-1046</v>
      </c>
      <c r="K25" s="765">
        <v>-1568</v>
      </c>
      <c r="L25" s="1153">
        <v>-2357</v>
      </c>
      <c r="M25" s="765"/>
      <c r="N25" s="765"/>
      <c r="O25" s="765">
        <v>-459</v>
      </c>
      <c r="P25" s="765">
        <v>-1003</v>
      </c>
      <c r="Q25" s="765">
        <v>-1502</v>
      </c>
      <c r="R25" s="765"/>
      <c r="S25" s="765">
        <v>-443</v>
      </c>
      <c r="T25" s="765">
        <v>-1432</v>
      </c>
      <c r="U25" s="765">
        <v>-1852</v>
      </c>
      <c r="V25" s="1422"/>
      <c r="X25" s="671"/>
    </row>
    <row r="26" spans="2:24" s="672" customFormat="1" ht="13.5">
      <c r="B26" s="1178"/>
      <c r="C26" s="763" t="s">
        <v>511</v>
      </c>
      <c r="D26" s="1154">
        <v>-614</v>
      </c>
      <c r="E26" s="766">
        <v>-1331</v>
      </c>
      <c r="F26" s="766">
        <v>-2004</v>
      </c>
      <c r="G26" s="767">
        <v>-2927</v>
      </c>
      <c r="H26" s="767"/>
      <c r="I26" s="767">
        <v>-682</v>
      </c>
      <c r="J26" s="767">
        <v>-1428</v>
      </c>
      <c r="K26" s="767">
        <v>-2120</v>
      </c>
      <c r="L26" s="1155">
        <v>-3163</v>
      </c>
      <c r="M26" s="767"/>
      <c r="N26" s="767"/>
      <c r="O26" s="767">
        <v>-669</v>
      </c>
      <c r="P26" s="767">
        <v>-1409</v>
      </c>
      <c r="Q26" s="767">
        <v>-2093</v>
      </c>
      <c r="R26" s="767"/>
      <c r="S26" s="767">
        <v>-785</v>
      </c>
      <c r="T26" s="767">
        <v>-1524</v>
      </c>
      <c r="U26" s="767">
        <v>-2115</v>
      </c>
      <c r="V26" s="1423"/>
      <c r="X26" s="671"/>
    </row>
    <row r="27" spans="2:22" s="671" customFormat="1" ht="11.25">
      <c r="B27" s="703"/>
      <c r="C27" s="9" t="s">
        <v>512</v>
      </c>
      <c r="D27" s="1145">
        <v>-1025</v>
      </c>
      <c r="E27" s="756">
        <v>-2216</v>
      </c>
      <c r="F27" s="756">
        <v>-3299</v>
      </c>
      <c r="G27" s="757">
        <v>-5114</v>
      </c>
      <c r="H27" s="757"/>
      <c r="I27" s="757">
        <v>-1160</v>
      </c>
      <c r="J27" s="757">
        <v>-2474</v>
      </c>
      <c r="K27" s="757">
        <v>-3688</v>
      </c>
      <c r="L27" s="1146">
        <v>-5520</v>
      </c>
      <c r="M27" s="757"/>
      <c r="N27" s="757"/>
      <c r="O27" s="757">
        <v>-1128</v>
      </c>
      <c r="P27" s="757">
        <v>-2412</v>
      </c>
      <c r="Q27" s="757">
        <f>+Q25+Q26</f>
        <v>-3595</v>
      </c>
      <c r="R27" s="757"/>
      <c r="S27" s="757">
        <v>-1228</v>
      </c>
      <c r="T27" s="757">
        <v>-2956</v>
      </c>
      <c r="U27" s="757">
        <f>+U25+U26</f>
        <v>-3967</v>
      </c>
      <c r="V27" s="1419"/>
    </row>
    <row r="28" spans="2:24" s="672" customFormat="1" ht="13.5">
      <c r="B28" s="1178"/>
      <c r="C28" s="763" t="s">
        <v>238</v>
      </c>
      <c r="D28" s="1154">
        <v>-370</v>
      </c>
      <c r="E28" s="766">
        <v>-433</v>
      </c>
      <c r="F28" s="766">
        <v>-293</v>
      </c>
      <c r="G28" s="767">
        <v>10</v>
      </c>
      <c r="H28" s="767"/>
      <c r="I28" s="767">
        <v>-367</v>
      </c>
      <c r="J28" s="767">
        <v>-270</v>
      </c>
      <c r="K28" s="767">
        <v>-384</v>
      </c>
      <c r="L28" s="1155">
        <v>269</v>
      </c>
      <c r="M28" s="767"/>
      <c r="N28" s="767"/>
      <c r="O28" s="767">
        <v>-361</v>
      </c>
      <c r="P28" s="767">
        <v>-313</v>
      </c>
      <c r="Q28" s="767">
        <v>-379</v>
      </c>
      <c r="R28" s="767">
        <v>269</v>
      </c>
      <c r="S28" s="767">
        <v>-279</v>
      </c>
      <c r="T28" s="767">
        <v>3</v>
      </c>
      <c r="U28" s="767">
        <v>-307</v>
      </c>
      <c r="V28" s="1423"/>
      <c r="X28" s="671"/>
    </row>
    <row r="29" spans="2:24" s="671" customFormat="1" ht="11.25">
      <c r="B29" s="703"/>
      <c r="C29" s="9" t="s">
        <v>513</v>
      </c>
      <c r="D29" s="1145">
        <v>-1395</v>
      </c>
      <c r="E29" s="756">
        <v>-2649</v>
      </c>
      <c r="F29" s="756">
        <v>-3592</v>
      </c>
      <c r="G29" s="757">
        <v>-5104</v>
      </c>
      <c r="H29" s="757"/>
      <c r="I29" s="757">
        <v>-1527</v>
      </c>
      <c r="J29" s="757">
        <v>-2744</v>
      </c>
      <c r="K29" s="757">
        <v>-4072</v>
      </c>
      <c r="L29" s="1146">
        <v>-5251</v>
      </c>
      <c r="M29" s="757"/>
      <c r="N29" s="757"/>
      <c r="O29" s="757">
        <v>-1489</v>
      </c>
      <c r="P29" s="757">
        <v>-2725</v>
      </c>
      <c r="Q29" s="757">
        <f>+Q27+Q28</f>
        <v>-3974</v>
      </c>
      <c r="R29" s="757"/>
      <c r="S29" s="757">
        <v>-1507</v>
      </c>
      <c r="T29" s="757">
        <v>-2953</v>
      </c>
      <c r="U29" s="757">
        <f>+U27+U28</f>
        <v>-4274</v>
      </c>
      <c r="V29" s="1419"/>
      <c r="X29" s="673"/>
    </row>
    <row r="30" spans="2:24" s="671" customFormat="1" ht="11.25">
      <c r="B30" s="703"/>
      <c r="C30" s="9" t="s">
        <v>518</v>
      </c>
      <c r="D30" s="1145">
        <v>0</v>
      </c>
      <c r="E30" s="756">
        <v>0</v>
      </c>
      <c r="F30" s="756">
        <v>0</v>
      </c>
      <c r="G30" s="757">
        <v>0</v>
      </c>
      <c r="H30" s="757"/>
      <c r="I30" s="757">
        <v>-669</v>
      </c>
      <c r="J30" s="757">
        <v>-669</v>
      </c>
      <c r="K30" s="757">
        <v>-670</v>
      </c>
      <c r="L30" s="1146">
        <v>-636</v>
      </c>
      <c r="M30" s="757"/>
      <c r="N30" s="757"/>
      <c r="O30" s="757">
        <v>-669</v>
      </c>
      <c r="P30" s="757">
        <v>-669</v>
      </c>
      <c r="Q30" s="757">
        <v>-670</v>
      </c>
      <c r="R30" s="757"/>
      <c r="S30" s="757">
        <v>0</v>
      </c>
      <c r="T30" s="757"/>
      <c r="U30" s="757">
        <v>0</v>
      </c>
      <c r="V30" s="1419"/>
      <c r="X30" s="695"/>
    </row>
    <row r="31" spans="2:24" s="671" customFormat="1" ht="11.25">
      <c r="B31" s="703"/>
      <c r="C31" s="9" t="s">
        <v>239</v>
      </c>
      <c r="D31" s="1145">
        <v>0</v>
      </c>
      <c r="E31" s="756">
        <v>-1</v>
      </c>
      <c r="F31" s="756">
        <v>-198</v>
      </c>
      <c r="G31" s="757">
        <v>-206</v>
      </c>
      <c r="H31" s="757"/>
      <c r="I31" s="757">
        <v>0</v>
      </c>
      <c r="J31" s="757">
        <v>0</v>
      </c>
      <c r="K31" s="757">
        <v>-1</v>
      </c>
      <c r="L31" s="1146">
        <v>-1</v>
      </c>
      <c r="M31" s="757"/>
      <c r="N31" s="757"/>
      <c r="O31" s="757">
        <v>0</v>
      </c>
      <c r="P31" s="757">
        <v>1</v>
      </c>
      <c r="Q31" s="757">
        <v>-1</v>
      </c>
      <c r="R31" s="757"/>
      <c r="S31" s="757">
        <v>0</v>
      </c>
      <c r="T31" s="757"/>
      <c r="U31" s="757">
        <v>-1</v>
      </c>
      <c r="V31" s="1419"/>
      <c r="X31" s="695"/>
    </row>
    <row r="32" spans="2:22" s="671" customFormat="1" ht="11.25">
      <c r="B32" s="703"/>
      <c r="C32" s="9" t="s">
        <v>240</v>
      </c>
      <c r="D32" s="1145">
        <v>215</v>
      </c>
      <c r="E32" s="756">
        <v>582</v>
      </c>
      <c r="F32" s="756">
        <v>393</v>
      </c>
      <c r="G32" s="757">
        <v>-264</v>
      </c>
      <c r="H32" s="757"/>
      <c r="I32" s="757">
        <v>543</v>
      </c>
      <c r="J32" s="757">
        <v>573</v>
      </c>
      <c r="K32" s="757">
        <v>499</v>
      </c>
      <c r="L32" s="1146">
        <v>475</v>
      </c>
      <c r="M32" s="757"/>
      <c r="N32" s="757"/>
      <c r="O32" s="757">
        <v>434</v>
      </c>
      <c r="P32" s="757">
        <v>405</v>
      </c>
      <c r="Q32" s="757">
        <v>587</v>
      </c>
      <c r="R32" s="757"/>
      <c r="S32" s="757">
        <v>-204</v>
      </c>
      <c r="T32" s="757">
        <v>113</v>
      </c>
      <c r="U32" s="757">
        <v>-94</v>
      </c>
      <c r="V32" s="1419"/>
    </row>
    <row r="33" spans="2:22" s="671" customFormat="1" ht="11.25">
      <c r="B33" s="703"/>
      <c r="C33" s="12" t="s">
        <v>519</v>
      </c>
      <c r="D33" s="1145">
        <v>111</v>
      </c>
      <c r="E33" s="756">
        <v>100</v>
      </c>
      <c r="F33" s="756">
        <v>332</v>
      </c>
      <c r="G33" s="757">
        <v>345</v>
      </c>
      <c r="H33" s="757"/>
      <c r="I33" s="757">
        <v>2</v>
      </c>
      <c r="J33" s="757">
        <v>1</v>
      </c>
      <c r="K33" s="757">
        <v>4</v>
      </c>
      <c r="L33" s="1146">
        <v>4</v>
      </c>
      <c r="M33" s="757"/>
      <c r="N33" s="757"/>
      <c r="O33" s="757">
        <v>2</v>
      </c>
      <c r="P33" s="757">
        <v>1</v>
      </c>
      <c r="Q33" s="757">
        <v>3</v>
      </c>
      <c r="R33" s="757"/>
      <c r="S33" s="757">
        <v>0</v>
      </c>
      <c r="T33" s="757"/>
      <c r="U33" s="757">
        <v>449</v>
      </c>
      <c r="V33" s="1419"/>
    </row>
    <row r="34" spans="2:22" s="671" customFormat="1" ht="12.75" customHeight="1">
      <c r="B34" s="703"/>
      <c r="C34" s="758" t="s">
        <v>520</v>
      </c>
      <c r="D34" s="1145">
        <v>256</v>
      </c>
      <c r="E34" s="756">
        <v>516</v>
      </c>
      <c r="F34" s="756">
        <v>940</v>
      </c>
      <c r="G34" s="757">
        <v>1038</v>
      </c>
      <c r="H34" s="757"/>
      <c r="I34" s="757">
        <v>15</v>
      </c>
      <c r="J34" s="757">
        <v>41</v>
      </c>
      <c r="K34" s="757">
        <v>520</v>
      </c>
      <c r="L34" s="1146">
        <v>1163</v>
      </c>
      <c r="M34" s="757"/>
      <c r="N34" s="757"/>
      <c r="O34" s="757">
        <v>14</v>
      </c>
      <c r="P34" s="757">
        <v>41</v>
      </c>
      <c r="Q34" s="757">
        <v>520</v>
      </c>
      <c r="R34" s="757"/>
      <c r="S34" s="757">
        <v>44</v>
      </c>
      <c r="T34" s="757">
        <v>60</v>
      </c>
      <c r="U34" s="757">
        <v>89</v>
      </c>
      <c r="V34" s="1419"/>
    </row>
    <row r="35" spans="2:24" s="673" customFormat="1" ht="11.25">
      <c r="B35" s="1179" t="s">
        <v>522</v>
      </c>
      <c r="C35" s="761"/>
      <c r="D35" s="1149">
        <v>-813</v>
      </c>
      <c r="E35" s="762">
        <v>-1452</v>
      </c>
      <c r="F35" s="762">
        <v>-2125</v>
      </c>
      <c r="G35" s="762">
        <v>-4191</v>
      </c>
      <c r="H35" s="762"/>
      <c r="I35" s="762">
        <v>-1636</v>
      </c>
      <c r="J35" s="762">
        <v>-2798</v>
      </c>
      <c r="K35" s="762">
        <v>-3720</v>
      </c>
      <c r="L35" s="1150">
        <v>-4246</v>
      </c>
      <c r="M35" s="762"/>
      <c r="N35" s="762"/>
      <c r="O35" s="762">
        <v>-1708</v>
      </c>
      <c r="P35" s="762">
        <v>-2947</v>
      </c>
      <c r="Q35" s="762">
        <f>+Q29+Q30+Q31+Q32+Q33+Q34</f>
        <v>-3535</v>
      </c>
      <c r="R35" s="762"/>
      <c r="S35" s="762">
        <v>-1667</v>
      </c>
      <c r="T35" s="762">
        <v>-2780</v>
      </c>
      <c r="U35" s="762">
        <f>+U29+U30+U31+U32+U33+U34</f>
        <v>-3831</v>
      </c>
      <c r="V35" s="1421"/>
      <c r="X35" s="671"/>
    </row>
    <row r="36" spans="2:22" ht="11.25">
      <c r="B36" s="703"/>
      <c r="C36" s="9"/>
      <c r="D36" s="1145"/>
      <c r="E36" s="756"/>
      <c r="F36" s="756"/>
      <c r="G36" s="779"/>
      <c r="H36" s="779"/>
      <c r="I36" s="768"/>
      <c r="J36" s="768"/>
      <c r="K36" s="768"/>
      <c r="L36" s="1156"/>
      <c r="M36" s="768"/>
      <c r="N36" s="768"/>
      <c r="O36" s="768"/>
      <c r="P36" s="768"/>
      <c r="Q36" s="768"/>
      <c r="R36" s="768"/>
      <c r="S36" s="768"/>
      <c r="T36" s="768"/>
      <c r="U36" s="768"/>
      <c r="V36" s="1419"/>
    </row>
    <row r="37" spans="2:24" ht="11.25">
      <c r="B37" s="720" t="s">
        <v>241</v>
      </c>
      <c r="C37" s="9"/>
      <c r="D37" s="1157"/>
      <c r="E37" s="768"/>
      <c r="F37" s="768"/>
      <c r="G37" s="779"/>
      <c r="H37" s="779"/>
      <c r="I37" s="769"/>
      <c r="J37" s="769"/>
      <c r="K37" s="769"/>
      <c r="L37" s="1158"/>
      <c r="M37" s="769"/>
      <c r="N37" s="769"/>
      <c r="O37" s="769"/>
      <c r="P37" s="769"/>
      <c r="Q37" s="769"/>
      <c r="R37" s="769"/>
      <c r="S37" s="769"/>
      <c r="T37" s="769"/>
      <c r="U37" s="769"/>
      <c r="V37" s="1424"/>
      <c r="X37" s="673"/>
    </row>
    <row r="38" spans="2:24" s="671" customFormat="1" ht="11.25">
      <c r="B38" s="703"/>
      <c r="C38" s="9" t="s">
        <v>523</v>
      </c>
      <c r="D38" s="1145">
        <v>-343</v>
      </c>
      <c r="E38" s="756">
        <v>-627</v>
      </c>
      <c r="F38" s="756">
        <v>-274</v>
      </c>
      <c r="G38" s="757">
        <v>-204</v>
      </c>
      <c r="H38" s="757"/>
      <c r="I38" s="757">
        <v>-381</v>
      </c>
      <c r="J38" s="757">
        <v>-415</v>
      </c>
      <c r="K38" s="757">
        <v>-339</v>
      </c>
      <c r="L38" s="1146">
        <v>202</v>
      </c>
      <c r="M38" s="757"/>
      <c r="N38" s="757"/>
      <c r="O38" s="757">
        <v>-380</v>
      </c>
      <c r="P38" s="757">
        <v>-413</v>
      </c>
      <c r="Q38" s="757">
        <v>-339</v>
      </c>
      <c r="R38" s="757"/>
      <c r="S38" s="757">
        <v>41</v>
      </c>
      <c r="T38" s="757">
        <v>-226</v>
      </c>
      <c r="U38" s="757">
        <v>32</v>
      </c>
      <c r="V38" s="1419"/>
      <c r="X38" s="695"/>
    </row>
    <row r="39" spans="2:24" s="671" customFormat="1" ht="11.25">
      <c r="B39" s="703"/>
      <c r="C39" s="9" t="s">
        <v>242</v>
      </c>
      <c r="D39" s="1145">
        <v>89</v>
      </c>
      <c r="E39" s="756">
        <v>2812</v>
      </c>
      <c r="F39" s="756">
        <v>5074</v>
      </c>
      <c r="G39" s="757">
        <v>5222</v>
      </c>
      <c r="H39" s="757"/>
      <c r="I39" s="757">
        <v>182</v>
      </c>
      <c r="J39" s="757">
        <v>1456</v>
      </c>
      <c r="K39" s="757">
        <v>1997</v>
      </c>
      <c r="L39" s="1146">
        <v>2625</v>
      </c>
      <c r="M39" s="757"/>
      <c r="N39" s="757"/>
      <c r="O39" s="757">
        <v>181</v>
      </c>
      <c r="P39" s="757">
        <v>1454</v>
      </c>
      <c r="Q39" s="757">
        <v>1996</v>
      </c>
      <c r="R39" s="757"/>
      <c r="S39" s="757">
        <v>211</v>
      </c>
      <c r="T39" s="757">
        <v>1918</v>
      </c>
      <c r="U39" s="757">
        <v>2194</v>
      </c>
      <c r="V39" s="1419"/>
      <c r="X39" s="695"/>
    </row>
    <row r="40" spans="2:24" s="671" customFormat="1" ht="11.25">
      <c r="B40" s="703"/>
      <c r="C40" s="9" t="s">
        <v>243</v>
      </c>
      <c r="D40" s="1145">
        <v>-4218</v>
      </c>
      <c r="E40" s="756">
        <v>-8302</v>
      </c>
      <c r="F40" s="756">
        <v>-8425</v>
      </c>
      <c r="G40" s="757">
        <v>-9995</v>
      </c>
      <c r="H40" s="757"/>
      <c r="I40" s="757">
        <v>-1298</v>
      </c>
      <c r="J40" s="757">
        <v>-3231</v>
      </c>
      <c r="K40" s="757">
        <v>-4847</v>
      </c>
      <c r="L40" s="1146">
        <v>-5220</v>
      </c>
      <c r="M40" s="757"/>
      <c r="N40" s="757"/>
      <c r="O40" s="757">
        <v>-1298</v>
      </c>
      <c r="P40" s="757">
        <v>-3230</v>
      </c>
      <c r="Q40" s="757">
        <v>-4845</v>
      </c>
      <c r="R40" s="757"/>
      <c r="S40" s="757">
        <v>-1859</v>
      </c>
      <c r="T40" s="757">
        <v>-2997</v>
      </c>
      <c r="U40" s="757">
        <v>-3419</v>
      </c>
      <c r="V40" s="1419"/>
      <c r="X40" s="695"/>
    </row>
    <row r="41" spans="2:24" s="671" customFormat="1" ht="11.25">
      <c r="B41" s="703"/>
      <c r="C41" s="9" t="s">
        <v>244</v>
      </c>
      <c r="D41" s="1145">
        <v>2</v>
      </c>
      <c r="E41" s="756">
        <v>2</v>
      </c>
      <c r="F41" s="756">
        <v>2</v>
      </c>
      <c r="G41" s="757">
        <v>2</v>
      </c>
      <c r="H41" s="757"/>
      <c r="I41" s="757">
        <v>0</v>
      </c>
      <c r="J41" s="757">
        <v>0</v>
      </c>
      <c r="K41" s="757">
        <v>0</v>
      </c>
      <c r="L41" s="1146">
        <v>0</v>
      </c>
      <c r="M41" s="757"/>
      <c r="N41" s="757"/>
      <c r="O41" s="757">
        <v>0</v>
      </c>
      <c r="P41" s="757"/>
      <c r="Q41" s="757"/>
      <c r="R41" s="757"/>
      <c r="S41" s="757">
        <v>0</v>
      </c>
      <c r="T41" s="757"/>
      <c r="U41" s="757">
        <v>-27</v>
      </c>
      <c r="V41" s="1419"/>
      <c r="X41" s="695"/>
    </row>
    <row r="42" spans="2:24" s="671" customFormat="1" ht="11.25">
      <c r="B42" s="703"/>
      <c r="C42" s="9" t="s">
        <v>541</v>
      </c>
      <c r="D42" s="1145"/>
      <c r="E42" s="756"/>
      <c r="F42" s="756"/>
      <c r="G42" s="757"/>
      <c r="H42" s="757"/>
      <c r="I42" s="757"/>
      <c r="J42" s="757"/>
      <c r="K42" s="757"/>
      <c r="L42" s="1146"/>
      <c r="M42" s="757"/>
      <c r="N42" s="757"/>
      <c r="O42" s="757"/>
      <c r="P42" s="757"/>
      <c r="Q42" s="757"/>
      <c r="R42" s="757"/>
      <c r="S42" s="757"/>
      <c r="T42" s="757"/>
      <c r="U42" s="757">
        <v>1</v>
      </c>
      <c r="V42" s="1419"/>
      <c r="X42" s="673"/>
    </row>
    <row r="43" spans="2:22" ht="11.25">
      <c r="B43" s="703"/>
      <c r="C43" s="9" t="s">
        <v>524</v>
      </c>
      <c r="D43" s="1145">
        <v>-37</v>
      </c>
      <c r="E43" s="756">
        <v>-2994</v>
      </c>
      <c r="F43" s="756">
        <v>-2997</v>
      </c>
      <c r="G43" s="757">
        <v>-2997</v>
      </c>
      <c r="H43" s="757"/>
      <c r="I43" s="757">
        <v>-18</v>
      </c>
      <c r="J43" s="757">
        <v>-2830</v>
      </c>
      <c r="K43" s="757">
        <v>-2830</v>
      </c>
      <c r="L43" s="1146">
        <v>-2831</v>
      </c>
      <c r="M43" s="757"/>
      <c r="N43" s="757"/>
      <c r="O43" s="757">
        <v>-18</v>
      </c>
      <c r="P43" s="757">
        <v>-2830</v>
      </c>
      <c r="Q43" s="757">
        <v>-2830</v>
      </c>
      <c r="R43" s="757"/>
      <c r="S43" s="757">
        <v>-26</v>
      </c>
      <c r="T43" s="757">
        <v>-1664</v>
      </c>
      <c r="U43" s="757">
        <v>-1665</v>
      </c>
      <c r="V43" s="1419"/>
    </row>
    <row r="44" spans="2:24" s="673" customFormat="1" ht="11.25">
      <c r="B44" s="1179" t="s">
        <v>515</v>
      </c>
      <c r="C44" s="761"/>
      <c r="D44" s="1149">
        <v>-4507</v>
      </c>
      <c r="E44" s="762">
        <v>-9109</v>
      </c>
      <c r="F44" s="762">
        <v>-6620</v>
      </c>
      <c r="G44" s="762">
        <v>-7972</v>
      </c>
      <c r="H44" s="762"/>
      <c r="I44" s="762">
        <v>-1515</v>
      </c>
      <c r="J44" s="762">
        <v>-5020</v>
      </c>
      <c r="K44" s="762">
        <v>-6019</v>
      </c>
      <c r="L44" s="1150">
        <v>-5224</v>
      </c>
      <c r="M44" s="762"/>
      <c r="N44" s="762"/>
      <c r="O44" s="762">
        <v>-1515</v>
      </c>
      <c r="P44" s="762">
        <v>-5019</v>
      </c>
      <c r="Q44" s="762">
        <f>+Q38+Q39+Q40+Q43</f>
        <v>-6018</v>
      </c>
      <c r="R44" s="762"/>
      <c r="S44" s="762">
        <v>-1633</v>
      </c>
      <c r="T44" s="762">
        <v>-2969</v>
      </c>
      <c r="U44" s="762">
        <f>+U38+U39+U40+U43+U41+U42</f>
        <v>-2884</v>
      </c>
      <c r="V44" s="1421"/>
      <c r="X44" s="695"/>
    </row>
    <row r="45" spans="2:22" ht="11.25">
      <c r="B45" s="703"/>
      <c r="C45" s="9"/>
      <c r="D45" s="1157"/>
      <c r="E45" s="768"/>
      <c r="F45" s="768"/>
      <c r="G45" s="779"/>
      <c r="H45" s="779"/>
      <c r="I45" s="769"/>
      <c r="J45" s="769"/>
      <c r="K45" s="769"/>
      <c r="L45" s="1158"/>
      <c r="M45" s="769"/>
      <c r="N45" s="769"/>
      <c r="O45" s="769"/>
      <c r="P45" s="769"/>
      <c r="Q45" s="769"/>
      <c r="R45" s="769"/>
      <c r="S45" s="769"/>
      <c r="T45" s="769"/>
      <c r="U45" s="769"/>
      <c r="V45" s="1424"/>
    </row>
    <row r="46" spans="2:22" ht="12.75">
      <c r="B46" s="1492" t="s">
        <v>514</v>
      </c>
      <c r="C46" s="1493"/>
      <c r="D46" s="770">
        <v>9</v>
      </c>
      <c r="E46" s="770">
        <v>-13</v>
      </c>
      <c r="F46" s="770">
        <v>-13</v>
      </c>
      <c r="G46" s="762">
        <v>-13</v>
      </c>
      <c r="H46" s="762"/>
      <c r="I46" s="762">
        <v>0</v>
      </c>
      <c r="J46" s="762">
        <v>0</v>
      </c>
      <c r="K46" s="762">
        <v>0</v>
      </c>
      <c r="L46" s="762">
        <v>0</v>
      </c>
      <c r="M46" s="762"/>
      <c r="N46" s="762"/>
      <c r="O46" s="762">
        <v>45</v>
      </c>
      <c r="P46" s="762">
        <v>52</v>
      </c>
      <c r="Q46" s="762">
        <v>-274</v>
      </c>
      <c r="R46" s="762"/>
      <c r="S46" s="762">
        <v>-24</v>
      </c>
      <c r="T46" s="762">
        <v>-26</v>
      </c>
      <c r="U46" s="762">
        <v>-10</v>
      </c>
      <c r="V46" s="1424"/>
    </row>
    <row r="47" spans="2:22" ht="11.25">
      <c r="B47" s="701"/>
      <c r="C47" s="41"/>
      <c r="D47" s="1159"/>
      <c r="E47" s="771"/>
      <c r="F47" s="771"/>
      <c r="G47" s="771"/>
      <c r="H47" s="771"/>
      <c r="I47" s="771"/>
      <c r="J47" s="771"/>
      <c r="K47" s="771"/>
      <c r="L47" s="1160"/>
      <c r="M47" s="771"/>
      <c r="N47" s="771"/>
      <c r="O47" s="771"/>
      <c r="P47" s="771"/>
      <c r="Q47" s="771"/>
      <c r="R47" s="771"/>
      <c r="S47" s="771"/>
      <c r="T47" s="771"/>
      <c r="U47" s="771"/>
      <c r="V47" s="1424"/>
    </row>
    <row r="48" spans="2:24" s="673" customFormat="1" ht="11.25">
      <c r="B48" s="1180" t="s">
        <v>306</v>
      </c>
      <c r="C48" s="40"/>
      <c r="D48" s="1161">
        <v>-3514</v>
      </c>
      <c r="E48" s="772">
        <v>-7346</v>
      </c>
      <c r="F48" s="772">
        <v>-3089</v>
      </c>
      <c r="G48" s="772">
        <v>-2982</v>
      </c>
      <c r="H48" s="772"/>
      <c r="I48" s="772">
        <v>-836</v>
      </c>
      <c r="J48" s="772">
        <v>-3563</v>
      </c>
      <c r="K48" s="772">
        <v>-3090</v>
      </c>
      <c r="L48" s="1162">
        <v>-780</v>
      </c>
      <c r="M48" s="772"/>
      <c r="N48" s="772"/>
      <c r="O48" s="772">
        <v>-836</v>
      </c>
      <c r="P48" s="772">
        <v>-3563</v>
      </c>
      <c r="Q48" s="772">
        <v>-3090</v>
      </c>
      <c r="R48" s="772"/>
      <c r="S48" s="772">
        <v>-1390</v>
      </c>
      <c r="T48" s="772">
        <v>-2154</v>
      </c>
      <c r="U48" s="772">
        <v>-879</v>
      </c>
      <c r="V48" s="1421"/>
      <c r="X48" s="695"/>
    </row>
    <row r="49" spans="2:24" ht="11.25">
      <c r="B49" s="720"/>
      <c r="C49" s="7"/>
      <c r="D49" s="1145"/>
      <c r="E49" s="756"/>
      <c r="F49" s="756"/>
      <c r="G49" s="779"/>
      <c r="H49" s="779"/>
      <c r="I49" s="756"/>
      <c r="J49" s="756"/>
      <c r="K49" s="756"/>
      <c r="L49" s="1151"/>
      <c r="M49" s="756"/>
      <c r="N49" s="756"/>
      <c r="O49" s="756"/>
      <c r="P49" s="756"/>
      <c r="Q49" s="756"/>
      <c r="R49" s="756"/>
      <c r="S49" s="756"/>
      <c r="T49" s="756"/>
      <c r="U49" s="756"/>
      <c r="V49" s="1419"/>
      <c r="X49" s="671"/>
    </row>
    <row r="50" spans="2:24" ht="11.25">
      <c r="B50" s="720" t="s">
        <v>307</v>
      </c>
      <c r="C50" s="7"/>
      <c r="D50" s="1157">
        <v>9958</v>
      </c>
      <c r="E50" s="768">
        <v>9958</v>
      </c>
      <c r="F50" s="768">
        <v>9958</v>
      </c>
      <c r="G50" s="769">
        <v>9958</v>
      </c>
      <c r="H50" s="769"/>
      <c r="I50" s="769">
        <v>6960</v>
      </c>
      <c r="J50" s="769">
        <v>6960</v>
      </c>
      <c r="K50" s="769">
        <v>6960</v>
      </c>
      <c r="L50" s="1158">
        <v>6960</v>
      </c>
      <c r="M50" s="769"/>
      <c r="N50" s="769"/>
      <c r="O50" s="769">
        <v>6960</v>
      </c>
      <c r="P50" s="769">
        <v>6960</v>
      </c>
      <c r="Q50" s="769">
        <v>6960</v>
      </c>
      <c r="R50" s="769"/>
      <c r="S50" s="769">
        <v>6204</v>
      </c>
      <c r="T50" s="769">
        <v>6204</v>
      </c>
      <c r="U50" s="769">
        <v>6204</v>
      </c>
      <c r="V50" s="1424"/>
      <c r="X50" s="697"/>
    </row>
    <row r="51" spans="2:24" ht="11.25">
      <c r="B51" s="720"/>
      <c r="C51" s="7"/>
      <c r="D51" s="1157"/>
      <c r="E51" s="768"/>
      <c r="F51" s="768"/>
      <c r="G51" s="779"/>
      <c r="H51" s="779"/>
      <c r="I51" s="769"/>
      <c r="J51" s="769"/>
      <c r="K51" s="769"/>
      <c r="L51" s="1158"/>
      <c r="M51" s="769"/>
      <c r="N51" s="769"/>
      <c r="O51" s="769"/>
      <c r="P51" s="769"/>
      <c r="Q51" s="769"/>
      <c r="R51" s="769"/>
      <c r="S51" s="769"/>
      <c r="T51" s="769"/>
      <c r="U51" s="769"/>
      <c r="V51" s="1424"/>
      <c r="X51" s="697"/>
    </row>
    <row r="52" spans="2:24" ht="11.25">
      <c r="B52" s="720" t="s">
        <v>525</v>
      </c>
      <c r="C52" s="9"/>
      <c r="D52" s="1145">
        <v>29</v>
      </c>
      <c r="E52" s="756">
        <v>1</v>
      </c>
      <c r="F52" s="756">
        <v>-2</v>
      </c>
      <c r="G52" s="757">
        <v>-16</v>
      </c>
      <c r="H52" s="757"/>
      <c r="I52" s="757">
        <v>10</v>
      </c>
      <c r="J52" s="757">
        <v>21</v>
      </c>
      <c r="K52" s="757">
        <v>20</v>
      </c>
      <c r="L52" s="1146">
        <v>24</v>
      </c>
      <c r="M52" s="757"/>
      <c r="N52" s="757"/>
      <c r="O52" s="757">
        <v>10</v>
      </c>
      <c r="P52" s="757">
        <v>21</v>
      </c>
      <c r="Q52" s="757">
        <v>20</v>
      </c>
      <c r="R52" s="757"/>
      <c r="S52" s="757">
        <v>-20</v>
      </c>
      <c r="T52" s="757">
        <v>7</v>
      </c>
      <c r="U52" s="757">
        <v>-30</v>
      </c>
      <c r="V52" s="1419"/>
      <c r="X52" s="671"/>
    </row>
    <row r="53" spans="2:24" ht="11.25">
      <c r="B53" s="703"/>
      <c r="C53" s="9"/>
      <c r="D53" s="1145"/>
      <c r="E53" s="756"/>
      <c r="F53" s="756"/>
      <c r="G53" s="779"/>
      <c r="H53" s="779"/>
      <c r="I53" s="756"/>
      <c r="J53" s="756"/>
      <c r="K53" s="756"/>
      <c r="L53" s="1151"/>
      <c r="M53" s="756"/>
      <c r="N53" s="756"/>
      <c r="O53" s="756"/>
      <c r="P53" s="756"/>
      <c r="Q53" s="756"/>
      <c r="R53" s="756"/>
      <c r="S53" s="756"/>
      <c r="T53" s="756"/>
      <c r="U53" s="756"/>
      <c r="V53" s="1419"/>
      <c r="X53" s="671"/>
    </row>
    <row r="54" spans="2:24" ht="11.25">
      <c r="B54" s="1488" t="s">
        <v>308</v>
      </c>
      <c r="C54" s="1489">
        <v>0</v>
      </c>
      <c r="D54" s="1149">
        <v>6473</v>
      </c>
      <c r="E54" s="762">
        <v>2613</v>
      </c>
      <c r="F54" s="762">
        <v>6867</v>
      </c>
      <c r="G54" s="762">
        <v>6960</v>
      </c>
      <c r="H54" s="762"/>
      <c r="I54" s="762">
        <v>6134</v>
      </c>
      <c r="J54" s="762">
        <v>3418</v>
      </c>
      <c r="K54" s="762">
        <v>3890</v>
      </c>
      <c r="L54" s="1150">
        <v>6984</v>
      </c>
      <c r="M54" s="762"/>
      <c r="N54" s="762"/>
      <c r="O54" s="762">
        <v>6134</v>
      </c>
      <c r="P54" s="762">
        <v>3418</v>
      </c>
      <c r="Q54" s="762">
        <v>3890</v>
      </c>
      <c r="R54" s="762"/>
      <c r="S54" s="762">
        <v>4794</v>
      </c>
      <c r="T54" s="762">
        <v>4057</v>
      </c>
      <c r="U54" s="762">
        <v>5295</v>
      </c>
      <c r="V54" s="1421"/>
      <c r="X54" s="671"/>
    </row>
    <row r="55" spans="2:22" s="671" customFormat="1" ht="17.25" customHeight="1">
      <c r="B55" s="1181"/>
      <c r="C55" s="773"/>
      <c r="D55" s="1163"/>
      <c r="E55" s="769"/>
      <c r="F55" s="769"/>
      <c r="G55" s="769"/>
      <c r="H55" s="769"/>
      <c r="I55" s="769"/>
      <c r="J55" s="769"/>
      <c r="K55" s="769"/>
      <c r="L55" s="1158"/>
      <c r="M55" s="769"/>
      <c r="N55" s="769"/>
      <c r="O55" s="769"/>
      <c r="P55" s="769"/>
      <c r="Q55" s="769"/>
      <c r="R55" s="769"/>
      <c r="S55" s="769"/>
      <c r="T55" s="769"/>
      <c r="U55" s="769"/>
      <c r="V55" s="1421"/>
    </row>
    <row r="56" spans="2:24" s="697" customFormat="1" ht="23.25" thickBot="1">
      <c r="B56" s="1182" t="s">
        <v>309</v>
      </c>
      <c r="C56" s="774"/>
      <c r="D56" s="1113" t="s">
        <v>2</v>
      </c>
      <c r="E56" s="854" t="s">
        <v>86</v>
      </c>
      <c r="F56" s="854" t="s">
        <v>87</v>
      </c>
      <c r="G56" s="854" t="s">
        <v>88</v>
      </c>
      <c r="H56" s="132"/>
      <c r="I56" s="775" t="s">
        <v>6</v>
      </c>
      <c r="J56" s="775" t="s">
        <v>148</v>
      </c>
      <c r="K56" s="775" t="s">
        <v>149</v>
      </c>
      <c r="L56" s="1141" t="s">
        <v>226</v>
      </c>
      <c r="M56" s="132"/>
      <c r="N56" s="132"/>
      <c r="O56" s="955" t="s">
        <v>341</v>
      </c>
      <c r="P56" s="955" t="s">
        <v>495</v>
      </c>
      <c r="Q56" s="955" t="s">
        <v>540</v>
      </c>
      <c r="R56" s="132"/>
      <c r="S56" s="854" t="s">
        <v>339</v>
      </c>
      <c r="T56" s="854" t="s">
        <v>434</v>
      </c>
      <c r="U56" s="854" t="s">
        <v>536</v>
      </c>
      <c r="V56" s="1417"/>
      <c r="W56" s="749"/>
      <c r="X56" s="695"/>
    </row>
    <row r="57" spans="2:24" s="697" customFormat="1" ht="2.25" customHeight="1">
      <c r="B57" s="1183"/>
      <c r="C57" s="754"/>
      <c r="D57" s="1142"/>
      <c r="E57" s="755"/>
      <c r="F57" s="755"/>
      <c r="G57" s="779"/>
      <c r="H57" s="779"/>
      <c r="I57" s="755"/>
      <c r="J57" s="755"/>
      <c r="K57" s="755"/>
      <c r="L57" s="1143"/>
      <c r="M57" s="755"/>
      <c r="N57" s="755"/>
      <c r="O57" s="755"/>
      <c r="P57" s="755"/>
      <c r="Q57" s="755"/>
      <c r="R57" s="755"/>
      <c r="S57" s="755"/>
      <c r="T57" s="755"/>
      <c r="U57" s="755"/>
      <c r="V57" s="1127"/>
      <c r="X57" s="695"/>
    </row>
    <row r="58" spans="2:24" s="671" customFormat="1" ht="11.25">
      <c r="B58" s="703"/>
      <c r="C58" s="9" t="s">
        <v>245</v>
      </c>
      <c r="D58" s="1164">
        <v>-5</v>
      </c>
      <c r="E58" s="757">
        <v>-269</v>
      </c>
      <c r="F58" s="757">
        <v>-373</v>
      </c>
      <c r="G58" s="757">
        <v>-566</v>
      </c>
      <c r="H58" s="757"/>
      <c r="I58" s="757">
        <v>-29</v>
      </c>
      <c r="J58" s="757">
        <v>-67</v>
      </c>
      <c r="K58" s="757">
        <v>-241</v>
      </c>
      <c r="L58" s="1146">
        <v>-501</v>
      </c>
      <c r="M58" s="757"/>
      <c r="N58" s="757"/>
      <c r="O58" s="757">
        <v>-29</v>
      </c>
      <c r="P58" s="757">
        <v>-67</v>
      </c>
      <c r="Q58" s="757">
        <v>-241</v>
      </c>
      <c r="R58" s="757"/>
      <c r="S58" s="757">
        <v>-23</v>
      </c>
      <c r="T58" s="757">
        <v>-84</v>
      </c>
      <c r="U58" s="757">
        <v>-387</v>
      </c>
      <c r="V58" s="1425"/>
      <c r="X58" s="695"/>
    </row>
    <row r="59" spans="2:24" s="671" customFormat="1" ht="11.25">
      <c r="B59" s="703"/>
      <c r="C59" s="9" t="s">
        <v>246</v>
      </c>
      <c r="D59" s="1164">
        <v>-1006</v>
      </c>
      <c r="E59" s="757">
        <v>-1928</v>
      </c>
      <c r="F59" s="757">
        <v>-2457</v>
      </c>
      <c r="G59" s="757">
        <v>-3108</v>
      </c>
      <c r="H59" s="757"/>
      <c r="I59" s="757">
        <v>-1217</v>
      </c>
      <c r="J59" s="757">
        <v>-2230</v>
      </c>
      <c r="K59" s="757">
        <v>-2946</v>
      </c>
      <c r="L59" s="1146">
        <v>-3569</v>
      </c>
      <c r="M59" s="757"/>
      <c r="N59" s="757"/>
      <c r="O59" s="757">
        <v>-1217</v>
      </c>
      <c r="P59" s="757">
        <v>-2230</v>
      </c>
      <c r="Q59" s="757">
        <v>-2946</v>
      </c>
      <c r="R59" s="757"/>
      <c r="S59" s="757">
        <v>-947</v>
      </c>
      <c r="T59" s="757">
        <v>-1728</v>
      </c>
      <c r="U59" s="757">
        <v>-2569</v>
      </c>
      <c r="V59" s="1425"/>
      <c r="X59" s="695"/>
    </row>
    <row r="60" spans="2:24" s="671" customFormat="1" ht="11.25">
      <c r="B60" s="703"/>
      <c r="C60" s="9" t="s">
        <v>247</v>
      </c>
      <c r="D60" s="1164">
        <v>167</v>
      </c>
      <c r="E60" s="757">
        <v>449</v>
      </c>
      <c r="F60" s="757">
        <v>709</v>
      </c>
      <c r="G60" s="757">
        <v>1156</v>
      </c>
      <c r="H60" s="757"/>
      <c r="I60" s="757">
        <v>345</v>
      </c>
      <c r="J60" s="757">
        <v>805</v>
      </c>
      <c r="K60" s="757">
        <v>1131</v>
      </c>
      <c r="L60" s="1146">
        <v>1477</v>
      </c>
      <c r="M60" s="757"/>
      <c r="N60" s="757"/>
      <c r="O60" s="757">
        <v>345</v>
      </c>
      <c r="P60" s="757">
        <v>805</v>
      </c>
      <c r="Q60" s="757">
        <v>1131</v>
      </c>
      <c r="R60" s="757"/>
      <c r="S60" s="757">
        <v>131</v>
      </c>
      <c r="T60" s="757">
        <v>418</v>
      </c>
      <c r="U60" s="757">
        <v>844</v>
      </c>
      <c r="V60" s="1425"/>
      <c r="X60" s="697"/>
    </row>
    <row r="61" spans="2:24" s="671" customFormat="1" ht="11.25">
      <c r="B61" s="1184"/>
      <c r="C61" s="776" t="s">
        <v>248</v>
      </c>
      <c r="D61" s="1165">
        <v>12</v>
      </c>
      <c r="E61" s="777">
        <v>27</v>
      </c>
      <c r="F61" s="777">
        <v>42</v>
      </c>
      <c r="G61" s="777">
        <v>63</v>
      </c>
      <c r="H61" s="777"/>
      <c r="I61" s="777">
        <v>5</v>
      </c>
      <c r="J61" s="777">
        <v>13</v>
      </c>
      <c r="K61" s="777">
        <v>39</v>
      </c>
      <c r="L61" s="1166">
        <v>59</v>
      </c>
      <c r="M61" s="777"/>
      <c r="N61" s="777"/>
      <c r="O61" s="777">
        <v>5</v>
      </c>
      <c r="P61" s="777">
        <v>13</v>
      </c>
      <c r="Q61" s="777">
        <v>39</v>
      </c>
      <c r="R61" s="777"/>
      <c r="S61" s="777">
        <v>11</v>
      </c>
      <c r="T61" s="777">
        <v>22</v>
      </c>
      <c r="U61" s="777">
        <v>46</v>
      </c>
      <c r="V61" s="1425"/>
      <c r="X61" s="743"/>
    </row>
    <row r="62" spans="2:22" ht="5.25" customHeight="1">
      <c r="B62" s="1181"/>
      <c r="C62" s="778"/>
      <c r="D62" s="1163"/>
      <c r="E62" s="769"/>
      <c r="F62" s="769"/>
      <c r="G62" s="779"/>
      <c r="H62" s="779"/>
      <c r="I62" s="769"/>
      <c r="J62" s="769"/>
      <c r="K62" s="769"/>
      <c r="L62" s="1158"/>
      <c r="M62" s="769"/>
      <c r="N62" s="769"/>
      <c r="O62" s="769"/>
      <c r="P62" s="769"/>
      <c r="Q62" s="769"/>
      <c r="R62" s="769"/>
      <c r="S62" s="769"/>
      <c r="T62" s="769"/>
      <c r="U62" s="769"/>
      <c r="V62" s="1421"/>
    </row>
    <row r="63" spans="2:22" ht="11.25">
      <c r="B63" s="703"/>
      <c r="C63" s="12"/>
      <c r="D63" s="1163"/>
      <c r="E63" s="769"/>
      <c r="F63" s="769"/>
      <c r="G63" s="779"/>
      <c r="H63" s="779"/>
      <c r="I63" s="769"/>
      <c r="J63" s="769"/>
      <c r="K63" s="769"/>
      <c r="L63" s="1158"/>
      <c r="M63" s="769"/>
      <c r="N63" s="769"/>
      <c r="O63" s="769"/>
      <c r="P63" s="769"/>
      <c r="Q63" s="769"/>
      <c r="R63" s="769"/>
      <c r="S63" s="769"/>
      <c r="T63" s="769"/>
      <c r="U63" s="769"/>
      <c r="V63" s="1421"/>
    </row>
    <row r="64" spans="2:24" ht="11.25">
      <c r="B64" s="1185"/>
      <c r="C64" s="12"/>
      <c r="D64" s="1163"/>
      <c r="E64" s="769"/>
      <c r="F64" s="769"/>
      <c r="G64" s="779"/>
      <c r="H64" s="779"/>
      <c r="I64" s="769"/>
      <c r="J64" s="769"/>
      <c r="K64" s="769"/>
      <c r="L64" s="1158"/>
      <c r="M64" s="769"/>
      <c r="N64" s="769"/>
      <c r="O64" s="769"/>
      <c r="P64" s="769"/>
      <c r="Q64" s="769"/>
      <c r="R64" s="769"/>
      <c r="S64" s="769"/>
      <c r="T64" s="769"/>
      <c r="U64" s="769"/>
      <c r="V64" s="1421"/>
      <c r="X64" s="671"/>
    </row>
    <row r="65" spans="2:24" ht="5.25" customHeight="1">
      <c r="B65" s="1185"/>
      <c r="C65" s="26"/>
      <c r="D65" s="1163"/>
      <c r="E65" s="769"/>
      <c r="F65" s="769"/>
      <c r="G65" s="779"/>
      <c r="H65" s="779"/>
      <c r="I65" s="769"/>
      <c r="J65" s="769"/>
      <c r="K65" s="769"/>
      <c r="L65" s="1158"/>
      <c r="M65" s="769"/>
      <c r="N65" s="769"/>
      <c r="O65" s="769"/>
      <c r="P65" s="769"/>
      <c r="Q65" s="769"/>
      <c r="R65" s="769"/>
      <c r="S65" s="769"/>
      <c r="T65" s="769"/>
      <c r="U65" s="769"/>
      <c r="V65" s="1421"/>
      <c r="X65" s="671"/>
    </row>
    <row r="66" spans="2:24" s="697" customFormat="1" ht="23.25" thickBot="1">
      <c r="B66" s="1182" t="s">
        <v>249</v>
      </c>
      <c r="C66" s="774"/>
      <c r="D66" s="1113" t="s">
        <v>2</v>
      </c>
      <c r="E66" s="854" t="s">
        <v>86</v>
      </c>
      <c r="F66" s="854" t="s">
        <v>87</v>
      </c>
      <c r="G66" s="854" t="s">
        <v>88</v>
      </c>
      <c r="H66" s="132"/>
      <c r="I66" s="775" t="s">
        <v>6</v>
      </c>
      <c r="J66" s="775" t="s">
        <v>148</v>
      </c>
      <c r="K66" s="775" t="s">
        <v>149</v>
      </c>
      <c r="L66" s="1141" t="s">
        <v>226</v>
      </c>
      <c r="M66" s="132"/>
      <c r="N66" s="132"/>
      <c r="O66" s="955" t="s">
        <v>341</v>
      </c>
      <c r="P66" s="955" t="s">
        <v>495</v>
      </c>
      <c r="Q66" s="955" t="s">
        <v>540</v>
      </c>
      <c r="R66" s="132"/>
      <c r="S66" s="854" t="s">
        <v>339</v>
      </c>
      <c r="T66" s="854" t="s">
        <v>434</v>
      </c>
      <c r="U66" s="854" t="s">
        <v>536</v>
      </c>
      <c r="V66" s="1417"/>
      <c r="W66" s="749"/>
      <c r="X66" s="671"/>
    </row>
    <row r="67" spans="2:24" s="743" customFormat="1" ht="4.5" customHeight="1">
      <c r="B67" s="1177"/>
      <c r="C67" s="754"/>
      <c r="D67" s="1142"/>
      <c r="E67" s="755"/>
      <c r="F67" s="755"/>
      <c r="G67" s="779"/>
      <c r="H67" s="779"/>
      <c r="I67" s="755"/>
      <c r="J67" s="755"/>
      <c r="K67" s="755"/>
      <c r="L67" s="1143"/>
      <c r="M67" s="755"/>
      <c r="N67" s="755"/>
      <c r="O67" s="755"/>
      <c r="P67" s="755"/>
      <c r="Q67" s="755"/>
      <c r="R67" s="755"/>
      <c r="S67" s="755"/>
      <c r="T67" s="755"/>
      <c r="U67" s="755"/>
      <c r="V67" s="1127"/>
      <c r="X67" s="671"/>
    </row>
    <row r="68" spans="2:24" ht="5.25" customHeight="1">
      <c r="B68" s="720"/>
      <c r="C68" s="7"/>
      <c r="D68" s="1145"/>
      <c r="E68" s="756"/>
      <c r="F68" s="756"/>
      <c r="G68" s="779"/>
      <c r="H68" s="779"/>
      <c r="I68" s="756"/>
      <c r="J68" s="756"/>
      <c r="K68" s="756"/>
      <c r="L68" s="1151"/>
      <c r="M68" s="756"/>
      <c r="N68" s="756"/>
      <c r="O68" s="756"/>
      <c r="P68" s="756"/>
      <c r="Q68" s="756"/>
      <c r="R68" s="756"/>
      <c r="S68" s="756"/>
      <c r="T68" s="756"/>
      <c r="U68" s="756"/>
      <c r="V68" s="1419"/>
      <c r="X68" s="671"/>
    </row>
    <row r="69" spans="2:24" ht="11.25">
      <c r="B69" s="720" t="s">
        <v>250</v>
      </c>
      <c r="C69" s="7"/>
      <c r="D69" s="1167"/>
      <c r="E69" s="780"/>
      <c r="F69" s="780"/>
      <c r="G69" s="779"/>
      <c r="H69" s="779"/>
      <c r="I69" s="769"/>
      <c r="J69" s="769"/>
      <c r="K69" s="769"/>
      <c r="L69" s="1158"/>
      <c r="M69" s="769"/>
      <c r="N69" s="769"/>
      <c r="O69" s="769"/>
      <c r="P69" s="769"/>
      <c r="Q69" s="769"/>
      <c r="R69" s="769"/>
      <c r="S69" s="769"/>
      <c r="T69" s="769"/>
      <c r="U69" s="769"/>
      <c r="V69" s="1424"/>
      <c r="X69" s="671"/>
    </row>
    <row r="70" spans="2:24" s="671" customFormat="1" ht="11.25">
      <c r="B70" s="703"/>
      <c r="C70" s="9" t="s">
        <v>251</v>
      </c>
      <c r="D70" s="1168">
        <v>10323</v>
      </c>
      <c r="E70" s="781">
        <v>10323</v>
      </c>
      <c r="F70" s="781">
        <v>10323</v>
      </c>
      <c r="G70" s="781">
        <v>10323</v>
      </c>
      <c r="H70" s="781"/>
      <c r="I70" s="781">
        <v>7219</v>
      </c>
      <c r="J70" s="781">
        <v>7219</v>
      </c>
      <c r="K70" s="781">
        <v>7219</v>
      </c>
      <c r="L70" s="1169">
        <v>7219</v>
      </c>
      <c r="M70" s="781"/>
      <c r="N70" s="781"/>
      <c r="O70" s="781">
        <v>7260</v>
      </c>
      <c r="P70" s="781">
        <v>7260</v>
      </c>
      <c r="Q70" s="781">
        <v>7260</v>
      </c>
      <c r="R70" s="781"/>
      <c r="S70" s="781">
        <v>6449</v>
      </c>
      <c r="T70" s="781">
        <v>6449</v>
      </c>
      <c r="U70" s="781">
        <v>6449</v>
      </c>
      <c r="V70" s="1426"/>
      <c r="X70" s="695"/>
    </row>
    <row r="71" spans="2:22" s="671" customFormat="1" ht="11.25">
      <c r="B71" s="703"/>
      <c r="C71" s="8" t="s">
        <v>252</v>
      </c>
      <c r="D71" s="1164">
        <v>-383</v>
      </c>
      <c r="E71" s="757">
        <v>-383</v>
      </c>
      <c r="F71" s="757">
        <v>-383</v>
      </c>
      <c r="G71" s="757">
        <v>-383</v>
      </c>
      <c r="H71" s="757"/>
      <c r="I71" s="757">
        <v>-259</v>
      </c>
      <c r="J71" s="757">
        <v>-259</v>
      </c>
      <c r="K71" s="757">
        <v>-259</v>
      </c>
      <c r="L71" s="1146">
        <v>-259</v>
      </c>
      <c r="M71" s="757"/>
      <c r="N71" s="757"/>
      <c r="O71" s="757">
        <v>-258</v>
      </c>
      <c r="P71" s="757">
        <v>-258</v>
      </c>
      <c r="Q71" s="757">
        <v>-258</v>
      </c>
      <c r="R71" s="757"/>
      <c r="S71" s="757">
        <v>-275</v>
      </c>
      <c r="T71" s="757">
        <v>-275</v>
      </c>
      <c r="U71" s="757">
        <v>-275</v>
      </c>
      <c r="V71" s="1425"/>
    </row>
    <row r="72" spans="2:22" s="671" customFormat="1" ht="11.25">
      <c r="B72" s="703"/>
      <c r="C72" s="8" t="s">
        <v>516</v>
      </c>
      <c r="D72" s="703">
        <v>37</v>
      </c>
      <c r="E72" s="9">
        <v>37</v>
      </c>
      <c r="F72" s="9">
        <v>37</v>
      </c>
      <c r="G72" s="757">
        <v>37</v>
      </c>
      <c r="H72" s="757"/>
      <c r="I72" s="757">
        <v>0</v>
      </c>
      <c r="J72" s="757">
        <v>0</v>
      </c>
      <c r="K72" s="757">
        <v>0</v>
      </c>
      <c r="L72" s="1146">
        <v>0</v>
      </c>
      <c r="M72" s="757"/>
      <c r="N72" s="757"/>
      <c r="O72" s="757">
        <v>5</v>
      </c>
      <c r="P72" s="757">
        <v>5</v>
      </c>
      <c r="Q72" s="757">
        <v>5</v>
      </c>
      <c r="R72" s="757"/>
      <c r="S72" s="757">
        <v>30</v>
      </c>
      <c r="T72" s="757">
        <v>30</v>
      </c>
      <c r="U72" s="757">
        <v>30</v>
      </c>
      <c r="V72" s="1418"/>
    </row>
    <row r="73" spans="2:22" s="671" customFormat="1" ht="11.25">
      <c r="B73" s="703"/>
      <c r="C73" s="8" t="s">
        <v>517</v>
      </c>
      <c r="D73" s="1164">
        <v>-19</v>
      </c>
      <c r="E73" s="757">
        <v>-19</v>
      </c>
      <c r="F73" s="757">
        <v>-19</v>
      </c>
      <c r="G73" s="757">
        <v>-19</v>
      </c>
      <c r="H73" s="757"/>
      <c r="I73" s="757">
        <v>0</v>
      </c>
      <c r="J73" s="757">
        <v>0</v>
      </c>
      <c r="K73" s="757">
        <v>0</v>
      </c>
      <c r="L73" s="1146">
        <v>0</v>
      </c>
      <c r="M73" s="757"/>
      <c r="N73" s="757"/>
      <c r="O73" s="757">
        <v>-47</v>
      </c>
      <c r="P73" s="757">
        <v>-47</v>
      </c>
      <c r="Q73" s="757">
        <v>-47</v>
      </c>
      <c r="R73" s="757"/>
      <c r="S73" s="757">
        <v>0</v>
      </c>
      <c r="T73" s="757">
        <v>0</v>
      </c>
      <c r="U73" s="757">
        <v>0</v>
      </c>
      <c r="V73" s="1425"/>
    </row>
    <row r="74" spans="2:22" s="671" customFormat="1" ht="11.25">
      <c r="B74" s="703"/>
      <c r="C74" s="8"/>
      <c r="D74" s="1170">
        <v>9958</v>
      </c>
      <c r="E74" s="782">
        <v>9958</v>
      </c>
      <c r="F74" s="782">
        <v>9958</v>
      </c>
      <c r="G74" s="782">
        <v>9958</v>
      </c>
      <c r="H74" s="782"/>
      <c r="I74" s="782">
        <v>6960</v>
      </c>
      <c r="J74" s="782">
        <v>6960</v>
      </c>
      <c r="K74" s="782">
        <v>6960</v>
      </c>
      <c r="L74" s="1171">
        <v>6960</v>
      </c>
      <c r="M74" s="782"/>
      <c r="N74" s="782"/>
      <c r="O74" s="782">
        <v>6960</v>
      </c>
      <c r="P74" s="782">
        <v>6960</v>
      </c>
      <c r="Q74" s="782">
        <f>+Q70+Q71+Q72+Q73</f>
        <v>6960</v>
      </c>
      <c r="R74" s="782"/>
      <c r="S74" s="782">
        <v>6204</v>
      </c>
      <c r="T74" s="782">
        <f>+T70+T71+T72+T73</f>
        <v>6204</v>
      </c>
      <c r="U74" s="782">
        <f>+U70+U71+U72+U73</f>
        <v>6204</v>
      </c>
      <c r="V74" s="1427"/>
    </row>
    <row r="75" spans="2:22" s="671" customFormat="1" ht="11.25">
      <c r="B75" s="703"/>
      <c r="C75" s="8"/>
      <c r="D75" s="1157"/>
      <c r="E75" s="768"/>
      <c r="F75" s="768"/>
      <c r="G75" s="783"/>
      <c r="H75" s="783"/>
      <c r="I75" s="783"/>
      <c r="J75" s="783"/>
      <c r="K75" s="783"/>
      <c r="L75" s="1172"/>
      <c r="M75" s="783"/>
      <c r="N75" s="783"/>
      <c r="O75" s="783"/>
      <c r="P75" s="783"/>
      <c r="Q75" s="783"/>
      <c r="R75" s="783"/>
      <c r="S75" s="783"/>
      <c r="T75" s="783"/>
      <c r="U75" s="783"/>
      <c r="V75" s="1424"/>
    </row>
    <row r="76" spans="2:22" ht="16.5" customHeight="1">
      <c r="B76" s="1490" t="s">
        <v>253</v>
      </c>
      <c r="C76" s="1491">
        <v>0</v>
      </c>
      <c r="D76" s="1167"/>
      <c r="E76" s="780"/>
      <c r="F76" s="780"/>
      <c r="G76" s="783"/>
      <c r="H76" s="783"/>
      <c r="I76" s="769"/>
      <c r="J76" s="769"/>
      <c r="K76" s="769"/>
      <c r="L76" s="1158"/>
      <c r="M76" s="769"/>
      <c r="N76" s="769"/>
      <c r="O76" s="769"/>
      <c r="P76" s="769"/>
      <c r="Q76" s="769"/>
      <c r="R76" s="769"/>
      <c r="S76" s="769"/>
      <c r="T76" s="769"/>
      <c r="U76" s="769"/>
      <c r="V76" s="1424"/>
    </row>
    <row r="77" spans="2:24" s="671" customFormat="1" ht="11.25">
      <c r="B77" s="703"/>
      <c r="C77" s="12" t="s">
        <v>251</v>
      </c>
      <c r="D77" s="1168">
        <v>6734</v>
      </c>
      <c r="E77" s="781">
        <v>2958</v>
      </c>
      <c r="F77" s="781">
        <v>7152</v>
      </c>
      <c r="G77" s="781">
        <v>7219</v>
      </c>
      <c r="H77" s="781"/>
      <c r="I77" s="781">
        <v>6497</v>
      </c>
      <c r="J77" s="781">
        <v>3664</v>
      </c>
      <c r="K77" s="781">
        <v>4235</v>
      </c>
      <c r="L77" s="1169">
        <v>6473</v>
      </c>
      <c r="M77" s="781"/>
      <c r="N77" s="781"/>
      <c r="O77" s="781">
        <v>6495</v>
      </c>
      <c r="P77" s="781">
        <v>3662</v>
      </c>
      <c r="Q77" s="781">
        <v>4551</v>
      </c>
      <c r="R77" s="781"/>
      <c r="S77" s="781">
        <v>5068</v>
      </c>
      <c r="T77" s="781">
        <v>4413</v>
      </c>
      <c r="U77" s="781">
        <v>5605</v>
      </c>
      <c r="V77" s="1426"/>
      <c r="X77" s="695"/>
    </row>
    <row r="78" spans="2:24" s="671" customFormat="1" ht="11.25">
      <c r="B78" s="703"/>
      <c r="C78" s="8" t="s">
        <v>252</v>
      </c>
      <c r="D78" s="1164">
        <v>-304</v>
      </c>
      <c r="E78" s="757">
        <v>-345</v>
      </c>
      <c r="F78" s="757">
        <v>-285</v>
      </c>
      <c r="G78" s="757">
        <v>-259</v>
      </c>
      <c r="H78" s="757"/>
      <c r="I78" s="757">
        <v>-363</v>
      </c>
      <c r="J78" s="757">
        <v>-246</v>
      </c>
      <c r="K78" s="757">
        <v>-345</v>
      </c>
      <c r="L78" s="1146">
        <v>-269</v>
      </c>
      <c r="M78" s="757"/>
      <c r="N78" s="757"/>
      <c r="O78" s="757">
        <v>-364</v>
      </c>
      <c r="P78" s="757">
        <v>-254</v>
      </c>
      <c r="Q78" s="757">
        <v>-345</v>
      </c>
      <c r="R78" s="757"/>
      <c r="S78" s="757">
        <v>-280</v>
      </c>
      <c r="T78" s="757">
        <v>-360</v>
      </c>
      <c r="U78" s="757">
        <v>-310</v>
      </c>
      <c r="V78" s="1425"/>
      <c r="X78" s="695"/>
    </row>
    <row r="79" spans="2:24" s="671" customFormat="1" ht="11.25">
      <c r="B79" s="703"/>
      <c r="C79" s="8" t="s">
        <v>516</v>
      </c>
      <c r="D79" s="1164">
        <v>43</v>
      </c>
      <c r="E79" s="757"/>
      <c r="F79" s="757"/>
      <c r="G79" s="757">
        <v>0</v>
      </c>
      <c r="H79" s="757"/>
      <c r="I79" s="757"/>
      <c r="J79" s="757"/>
      <c r="K79" s="757"/>
      <c r="L79" s="1146"/>
      <c r="M79" s="757"/>
      <c r="N79" s="757"/>
      <c r="O79" s="757">
        <v>7</v>
      </c>
      <c r="P79" s="757">
        <v>14</v>
      </c>
      <c r="Q79" s="757">
        <v>8</v>
      </c>
      <c r="R79" s="757"/>
      <c r="S79" s="757">
        <v>14</v>
      </c>
      <c r="T79" s="757">
        <v>20</v>
      </c>
      <c r="U79" s="757">
        <v>0</v>
      </c>
      <c r="V79" s="1425"/>
      <c r="X79" s="695"/>
    </row>
    <row r="80" spans="2:24" s="671" customFormat="1" ht="11.25">
      <c r="B80" s="703"/>
      <c r="C80" s="8" t="s">
        <v>517</v>
      </c>
      <c r="D80" s="1164"/>
      <c r="E80" s="757"/>
      <c r="F80" s="757"/>
      <c r="G80" s="757"/>
      <c r="H80" s="757"/>
      <c r="I80" s="757"/>
      <c r="J80" s="757"/>
      <c r="K80" s="757"/>
      <c r="L80" s="1146"/>
      <c r="M80" s="757"/>
      <c r="N80" s="757"/>
      <c r="O80" s="757">
        <v>-4</v>
      </c>
      <c r="P80" s="757">
        <v>-4</v>
      </c>
      <c r="Q80" s="757">
        <v>-324</v>
      </c>
      <c r="R80" s="757"/>
      <c r="S80" s="757">
        <v>-8</v>
      </c>
      <c r="T80" s="757">
        <v>-16</v>
      </c>
      <c r="U80" s="757">
        <v>0</v>
      </c>
      <c r="V80" s="1425"/>
      <c r="X80" s="695"/>
    </row>
    <row r="81" spans="2:24" s="671" customFormat="1" ht="11.25">
      <c r="B81" s="703"/>
      <c r="C81" s="1428"/>
      <c r="D81" s="782">
        <v>6473</v>
      </c>
      <c r="E81" s="782">
        <v>2613</v>
      </c>
      <c r="F81" s="782">
        <v>6867</v>
      </c>
      <c r="G81" s="782">
        <v>6960</v>
      </c>
      <c r="H81" s="782"/>
      <c r="I81" s="782">
        <v>6134</v>
      </c>
      <c r="J81" s="782">
        <v>3418</v>
      </c>
      <c r="K81" s="782">
        <v>3890</v>
      </c>
      <c r="L81" s="1171">
        <v>6204</v>
      </c>
      <c r="M81" s="782"/>
      <c r="N81" s="782"/>
      <c r="O81" s="782">
        <v>6134</v>
      </c>
      <c r="P81" s="782">
        <v>3418</v>
      </c>
      <c r="Q81" s="782">
        <f>+Q77+Q78+Q79+Q80</f>
        <v>3890</v>
      </c>
      <c r="R81" s="782">
        <v>0</v>
      </c>
      <c r="S81" s="782">
        <v>4794</v>
      </c>
      <c r="T81" s="782">
        <v>4057</v>
      </c>
      <c r="U81" s="782">
        <f>+U77+U78+U79+U80</f>
        <v>5295</v>
      </c>
      <c r="V81" s="1427"/>
      <c r="X81" s="695"/>
    </row>
    <row r="82" spans="2:24" s="671" customFormat="1" ht="11.25">
      <c r="B82" s="1184"/>
      <c r="C82" s="1228" t="s">
        <v>496</v>
      </c>
      <c r="D82" s="1173"/>
      <c r="E82" s="1173"/>
      <c r="F82" s="1173"/>
      <c r="G82" s="1173"/>
      <c r="H82" s="1173"/>
      <c r="I82" s="1173"/>
      <c r="J82" s="1173"/>
      <c r="K82" s="1173"/>
      <c r="L82" s="1173"/>
      <c r="M82" s="1173"/>
      <c r="N82" s="1173"/>
      <c r="O82" s="1173"/>
      <c r="P82" s="1173"/>
      <c r="Q82" s="1173"/>
      <c r="R82" s="1173"/>
      <c r="S82" s="1173"/>
      <c r="T82" s="1173"/>
      <c r="U82" s="1173"/>
      <c r="V82" s="1429"/>
      <c r="X82" s="695"/>
    </row>
    <row r="83" spans="2:22" ht="11.25">
      <c r="B83" s="672"/>
      <c r="C83" s="672"/>
      <c r="D83" s="745"/>
      <c r="E83" s="745"/>
      <c r="F83" s="745"/>
      <c r="G83" s="745"/>
      <c r="H83" s="745"/>
      <c r="I83" s="745"/>
      <c r="J83" s="745"/>
      <c r="K83" s="745"/>
      <c r="L83" s="745"/>
      <c r="M83" s="745"/>
      <c r="N83" s="745"/>
      <c r="O83" s="745"/>
      <c r="P83" s="745"/>
      <c r="Q83" s="745"/>
      <c r="R83" s="745"/>
      <c r="S83" s="745"/>
      <c r="T83" s="745"/>
      <c r="U83" s="745"/>
      <c r="V83" s="747"/>
    </row>
    <row r="84" spans="2:22" ht="11.25">
      <c r="B84" s="671"/>
      <c r="C84" s="671"/>
      <c r="D84" s="745"/>
      <c r="E84" s="745"/>
      <c r="F84" s="745"/>
      <c r="G84" s="748"/>
      <c r="H84" s="748"/>
      <c r="I84" s="745"/>
      <c r="J84" s="745"/>
      <c r="K84" s="745"/>
      <c r="L84" s="745"/>
      <c r="M84" s="745"/>
      <c r="N84" s="745"/>
      <c r="O84" s="745"/>
      <c r="P84" s="745"/>
      <c r="Q84" s="745"/>
      <c r="R84" s="745"/>
      <c r="S84" s="745"/>
      <c r="T84" s="745"/>
      <c r="U84" s="745"/>
      <c r="V84" s="747"/>
    </row>
    <row r="85" spans="2:22" ht="11.25">
      <c r="B85" s="672"/>
      <c r="C85" s="671"/>
      <c r="D85" s="745"/>
      <c r="E85" s="745"/>
      <c r="F85" s="745"/>
      <c r="G85" s="748"/>
      <c r="H85" s="748"/>
      <c r="I85" s="745"/>
      <c r="J85" s="745"/>
      <c r="K85" s="745"/>
      <c r="L85" s="745"/>
      <c r="M85" s="745"/>
      <c r="N85" s="745"/>
      <c r="O85" s="745"/>
      <c r="P85" s="745"/>
      <c r="Q85" s="745"/>
      <c r="R85" s="745"/>
      <c r="S85" s="745"/>
      <c r="T85" s="745"/>
      <c r="U85" s="745"/>
      <c r="V85" s="747"/>
    </row>
    <row r="86" spans="2:22" ht="11.25">
      <c r="B86" s="672"/>
      <c r="C86" s="672"/>
      <c r="D86" s="745"/>
      <c r="E86" s="745"/>
      <c r="F86" s="745"/>
      <c r="G86" s="750"/>
      <c r="H86" s="750"/>
      <c r="I86" s="745"/>
      <c r="J86" s="745"/>
      <c r="K86" s="745"/>
      <c r="L86" s="745"/>
      <c r="M86" s="745"/>
      <c r="N86" s="745"/>
      <c r="O86" s="745"/>
      <c r="P86" s="745"/>
      <c r="Q86" s="745"/>
      <c r="R86" s="745"/>
      <c r="S86" s="745"/>
      <c r="T86" s="745"/>
      <c r="U86" s="745"/>
      <c r="V86" s="747"/>
    </row>
    <row r="87" spans="2:22" ht="11.25">
      <c r="B87" s="671"/>
      <c r="C87" s="671"/>
      <c r="D87" s="745"/>
      <c r="E87" s="745"/>
      <c r="F87" s="745"/>
      <c r="G87" s="746"/>
      <c r="H87" s="746"/>
      <c r="I87" s="745"/>
      <c r="J87" s="745"/>
      <c r="K87" s="745"/>
      <c r="L87" s="745"/>
      <c r="M87" s="745"/>
      <c r="N87" s="745"/>
      <c r="O87" s="745"/>
      <c r="P87" s="745"/>
      <c r="Q87" s="745"/>
      <c r="R87" s="745"/>
      <c r="S87" s="745"/>
      <c r="T87" s="745"/>
      <c r="U87" s="745"/>
      <c r="V87" s="747"/>
    </row>
    <row r="88" spans="2:22" ht="11.25">
      <c r="B88" s="671"/>
      <c r="C88" s="671"/>
      <c r="D88" s="745"/>
      <c r="E88" s="745"/>
      <c r="F88" s="745"/>
      <c r="G88" s="746"/>
      <c r="H88" s="746"/>
      <c r="I88" s="745"/>
      <c r="J88" s="745"/>
      <c r="K88" s="745"/>
      <c r="L88" s="745"/>
      <c r="M88" s="745"/>
      <c r="N88" s="745"/>
      <c r="O88" s="745"/>
      <c r="P88" s="745"/>
      <c r="Q88" s="745"/>
      <c r="R88" s="745"/>
      <c r="S88" s="745"/>
      <c r="T88" s="745"/>
      <c r="U88" s="745"/>
      <c r="V88" s="747"/>
    </row>
    <row r="89" spans="2:22" ht="11.25">
      <c r="B89" s="672"/>
      <c r="C89" s="672"/>
      <c r="D89" s="745"/>
      <c r="E89" s="745"/>
      <c r="F89" s="745"/>
      <c r="G89" s="746"/>
      <c r="H89" s="746"/>
      <c r="I89" s="745"/>
      <c r="J89" s="745"/>
      <c r="K89" s="745"/>
      <c r="L89" s="745"/>
      <c r="M89" s="745"/>
      <c r="N89" s="745"/>
      <c r="O89" s="745"/>
      <c r="P89" s="745"/>
      <c r="Q89" s="745"/>
      <c r="R89" s="745"/>
      <c r="S89" s="745"/>
      <c r="T89" s="745"/>
      <c r="U89" s="745"/>
      <c r="V89" s="747"/>
    </row>
    <row r="90" spans="2:22" ht="11.25">
      <c r="B90" s="671"/>
      <c r="C90" s="671"/>
      <c r="D90" s="745"/>
      <c r="E90" s="745"/>
      <c r="F90" s="745"/>
      <c r="G90" s="751"/>
      <c r="H90" s="751"/>
      <c r="I90" s="745"/>
      <c r="J90" s="745"/>
      <c r="K90" s="745"/>
      <c r="L90" s="745"/>
      <c r="M90" s="745"/>
      <c r="N90" s="745"/>
      <c r="O90" s="745"/>
      <c r="P90" s="745"/>
      <c r="Q90" s="745"/>
      <c r="R90" s="745"/>
      <c r="S90" s="745"/>
      <c r="T90" s="745"/>
      <c r="U90" s="745"/>
      <c r="V90" s="747"/>
    </row>
    <row r="91" spans="2:22" ht="11.25">
      <c r="B91" s="671"/>
      <c r="C91" s="671"/>
      <c r="D91" s="745"/>
      <c r="E91" s="745"/>
      <c r="F91" s="745"/>
      <c r="G91" s="745"/>
      <c r="H91" s="745"/>
      <c r="I91" s="745"/>
      <c r="J91" s="745"/>
      <c r="K91" s="745"/>
      <c r="L91" s="745"/>
      <c r="M91" s="745"/>
      <c r="N91" s="745"/>
      <c r="O91" s="745"/>
      <c r="P91" s="745"/>
      <c r="Q91" s="745"/>
      <c r="R91" s="745"/>
      <c r="S91" s="745"/>
      <c r="T91" s="745"/>
      <c r="U91" s="745"/>
      <c r="V91" s="747"/>
    </row>
    <row r="92" spans="4:22" ht="11.25">
      <c r="D92" s="745"/>
      <c r="E92" s="745"/>
      <c r="F92" s="745"/>
      <c r="G92" s="745"/>
      <c r="H92" s="745"/>
      <c r="I92" s="745"/>
      <c r="J92" s="745"/>
      <c r="K92" s="745"/>
      <c r="L92" s="745"/>
      <c r="M92" s="745"/>
      <c r="N92" s="745"/>
      <c r="O92" s="745"/>
      <c r="P92" s="745"/>
      <c r="Q92" s="745"/>
      <c r="R92" s="745"/>
      <c r="S92" s="745"/>
      <c r="T92" s="745"/>
      <c r="U92" s="745"/>
      <c r="V92" s="747"/>
    </row>
    <row r="93" spans="4:22" ht="11.25">
      <c r="D93" s="745"/>
      <c r="E93" s="745"/>
      <c r="F93" s="745"/>
      <c r="G93" s="745"/>
      <c r="H93" s="745"/>
      <c r="I93" s="745"/>
      <c r="J93" s="745"/>
      <c r="K93" s="745"/>
      <c r="L93" s="745"/>
      <c r="M93" s="745"/>
      <c r="N93" s="745"/>
      <c r="O93" s="745"/>
      <c r="P93" s="745"/>
      <c r="Q93" s="745"/>
      <c r="R93" s="745"/>
      <c r="S93" s="745"/>
      <c r="T93" s="745"/>
      <c r="U93" s="745"/>
      <c r="V93" s="747"/>
    </row>
    <row r="94" spans="4:22" ht="11.25">
      <c r="D94" s="745"/>
      <c r="E94" s="745"/>
      <c r="F94" s="745"/>
      <c r="G94" s="745"/>
      <c r="H94" s="745"/>
      <c r="I94" s="745"/>
      <c r="J94" s="745"/>
      <c r="K94" s="745"/>
      <c r="L94" s="745"/>
      <c r="M94" s="745"/>
      <c r="N94" s="745"/>
      <c r="O94" s="745"/>
      <c r="P94" s="745"/>
      <c r="Q94" s="745"/>
      <c r="R94" s="745"/>
      <c r="S94" s="745"/>
      <c r="T94" s="745"/>
      <c r="U94" s="745"/>
      <c r="V94" s="747"/>
    </row>
    <row r="95" spans="4:22" ht="11.25">
      <c r="D95" s="745"/>
      <c r="E95" s="745"/>
      <c r="F95" s="745"/>
      <c r="G95" s="745"/>
      <c r="H95" s="745"/>
      <c r="I95" s="745"/>
      <c r="J95" s="745"/>
      <c r="K95" s="745"/>
      <c r="L95" s="745"/>
      <c r="M95" s="745"/>
      <c r="N95" s="745"/>
      <c r="O95" s="745"/>
      <c r="P95" s="745"/>
      <c r="Q95" s="745"/>
      <c r="R95" s="745"/>
      <c r="S95" s="745"/>
      <c r="T95" s="745"/>
      <c r="U95" s="745"/>
      <c r="V95" s="747"/>
    </row>
    <row r="96" spans="4:22" ht="11.25">
      <c r="D96" s="745"/>
      <c r="E96" s="745"/>
      <c r="F96" s="745"/>
      <c r="G96" s="745"/>
      <c r="H96" s="745"/>
      <c r="I96" s="745"/>
      <c r="J96" s="745"/>
      <c r="K96" s="745"/>
      <c r="L96" s="745"/>
      <c r="M96" s="745"/>
      <c r="N96" s="745"/>
      <c r="O96" s="745"/>
      <c r="P96" s="745"/>
      <c r="Q96" s="745"/>
      <c r="R96" s="745"/>
      <c r="S96" s="745"/>
      <c r="T96" s="745"/>
      <c r="U96" s="745"/>
      <c r="V96" s="747"/>
    </row>
    <row r="97" spans="4:22" ht="11.25">
      <c r="D97" s="745"/>
      <c r="E97" s="745"/>
      <c r="F97" s="745"/>
      <c r="G97" s="745"/>
      <c r="H97" s="745"/>
      <c r="I97" s="745"/>
      <c r="J97" s="745"/>
      <c r="K97" s="745"/>
      <c r="L97" s="745"/>
      <c r="M97" s="745"/>
      <c r="N97" s="745"/>
      <c r="O97" s="745"/>
      <c r="P97" s="745"/>
      <c r="Q97" s="745"/>
      <c r="R97" s="745"/>
      <c r="S97" s="745"/>
      <c r="T97" s="745"/>
      <c r="U97" s="745"/>
      <c r="V97" s="747"/>
    </row>
    <row r="98" spans="4:22" ht="11.25">
      <c r="D98" s="745"/>
      <c r="E98" s="745"/>
      <c r="F98" s="745"/>
      <c r="G98" s="745"/>
      <c r="H98" s="745"/>
      <c r="I98" s="745"/>
      <c r="J98" s="745"/>
      <c r="K98" s="745"/>
      <c r="L98" s="745"/>
      <c r="M98" s="745"/>
      <c r="N98" s="745"/>
      <c r="O98" s="745"/>
      <c r="P98" s="745"/>
      <c r="Q98" s="745"/>
      <c r="R98" s="745"/>
      <c r="S98" s="745"/>
      <c r="T98" s="745"/>
      <c r="U98" s="745"/>
      <c r="V98" s="747"/>
    </row>
    <row r="99" spans="4:22" ht="11.25">
      <c r="D99" s="745"/>
      <c r="E99" s="745"/>
      <c r="F99" s="745"/>
      <c r="G99" s="745"/>
      <c r="H99" s="745"/>
      <c r="I99" s="745"/>
      <c r="J99" s="745"/>
      <c r="K99" s="745"/>
      <c r="L99" s="745"/>
      <c r="M99" s="745"/>
      <c r="N99" s="745"/>
      <c r="O99" s="745"/>
      <c r="P99" s="745"/>
      <c r="Q99" s="745"/>
      <c r="R99" s="745"/>
      <c r="S99" s="745"/>
      <c r="T99" s="745"/>
      <c r="U99" s="745"/>
      <c r="V99" s="747"/>
    </row>
    <row r="100" spans="4:22" ht="11.25">
      <c r="D100" s="745"/>
      <c r="E100" s="745"/>
      <c r="F100" s="745"/>
      <c r="G100" s="745"/>
      <c r="H100" s="745"/>
      <c r="I100" s="745"/>
      <c r="J100" s="745"/>
      <c r="K100" s="745"/>
      <c r="L100" s="745"/>
      <c r="M100" s="745"/>
      <c r="N100" s="745"/>
      <c r="O100" s="745"/>
      <c r="P100" s="745"/>
      <c r="Q100" s="745"/>
      <c r="R100" s="745"/>
      <c r="S100" s="745"/>
      <c r="T100" s="745"/>
      <c r="U100" s="745"/>
      <c r="V100" s="747"/>
    </row>
    <row r="101" spans="4:22" ht="11.25">
      <c r="D101" s="745"/>
      <c r="E101" s="745"/>
      <c r="F101" s="745"/>
      <c r="G101" s="745"/>
      <c r="H101" s="745"/>
      <c r="I101" s="745"/>
      <c r="J101" s="745"/>
      <c r="K101" s="745"/>
      <c r="L101" s="745"/>
      <c r="M101" s="745"/>
      <c r="N101" s="745"/>
      <c r="O101" s="745"/>
      <c r="P101" s="745"/>
      <c r="Q101" s="745"/>
      <c r="R101" s="745"/>
      <c r="S101" s="745"/>
      <c r="T101" s="745"/>
      <c r="U101" s="745"/>
      <c r="V101" s="747"/>
    </row>
    <row r="102" spans="4:22" ht="11.25">
      <c r="D102" s="745"/>
      <c r="E102" s="745"/>
      <c r="F102" s="745"/>
      <c r="G102" s="745"/>
      <c r="H102" s="745"/>
      <c r="I102" s="745"/>
      <c r="J102" s="745"/>
      <c r="K102" s="745"/>
      <c r="L102" s="745"/>
      <c r="M102" s="745"/>
      <c r="N102" s="745"/>
      <c r="O102" s="745"/>
      <c r="P102" s="745"/>
      <c r="Q102" s="745"/>
      <c r="R102" s="745"/>
      <c r="S102" s="745"/>
      <c r="T102" s="745"/>
      <c r="U102" s="745"/>
      <c r="V102" s="747"/>
    </row>
    <row r="103" spans="4:22" ht="11.25">
      <c r="D103" s="745"/>
      <c r="E103" s="745"/>
      <c r="F103" s="745"/>
      <c r="G103" s="745"/>
      <c r="H103" s="745"/>
      <c r="I103" s="745"/>
      <c r="J103" s="745"/>
      <c r="K103" s="745"/>
      <c r="L103" s="745"/>
      <c r="M103" s="745"/>
      <c r="N103" s="745"/>
      <c r="O103" s="745"/>
      <c r="P103" s="745"/>
      <c r="Q103" s="745"/>
      <c r="R103" s="745"/>
      <c r="S103" s="745"/>
      <c r="T103" s="745"/>
      <c r="U103" s="745"/>
      <c r="V103" s="747"/>
    </row>
    <row r="104" spans="4:22" ht="11.25">
      <c r="D104" s="745"/>
      <c r="E104" s="745"/>
      <c r="F104" s="745"/>
      <c r="G104" s="745"/>
      <c r="H104" s="745"/>
      <c r="I104" s="745"/>
      <c r="J104" s="745"/>
      <c r="K104" s="745"/>
      <c r="L104" s="745"/>
      <c r="M104" s="745"/>
      <c r="N104" s="745"/>
      <c r="O104" s="745"/>
      <c r="P104" s="745"/>
      <c r="Q104" s="745"/>
      <c r="R104" s="745"/>
      <c r="S104" s="745"/>
      <c r="T104" s="745"/>
      <c r="U104" s="745"/>
      <c r="V104" s="747"/>
    </row>
    <row r="105" spans="4:22" ht="11.25">
      <c r="D105" s="745"/>
      <c r="E105" s="745"/>
      <c r="F105" s="745"/>
      <c r="G105" s="745"/>
      <c r="H105" s="745"/>
      <c r="I105" s="745"/>
      <c r="J105" s="745"/>
      <c r="K105" s="745"/>
      <c r="L105" s="745"/>
      <c r="M105" s="745"/>
      <c r="N105" s="745"/>
      <c r="O105" s="745"/>
      <c r="P105" s="745"/>
      <c r="Q105" s="745"/>
      <c r="R105" s="745"/>
      <c r="S105" s="745"/>
      <c r="T105" s="745"/>
      <c r="U105" s="745"/>
      <c r="V105" s="747"/>
    </row>
    <row r="106" spans="4:22" ht="11.25">
      <c r="D106" s="745"/>
      <c r="E106" s="745"/>
      <c r="F106" s="745"/>
      <c r="G106" s="745"/>
      <c r="H106" s="745"/>
      <c r="I106" s="745"/>
      <c r="J106" s="745"/>
      <c r="K106" s="745"/>
      <c r="L106" s="745"/>
      <c r="M106" s="745"/>
      <c r="N106" s="745"/>
      <c r="O106" s="745"/>
      <c r="P106" s="745"/>
      <c r="Q106" s="745"/>
      <c r="R106" s="745"/>
      <c r="S106" s="745"/>
      <c r="T106" s="745"/>
      <c r="U106" s="745"/>
      <c r="V106" s="747"/>
    </row>
    <row r="107" spans="4:22" ht="11.25">
      <c r="D107" s="745"/>
      <c r="E107" s="745"/>
      <c r="F107" s="745"/>
      <c r="G107" s="745"/>
      <c r="H107" s="745"/>
      <c r="I107" s="745"/>
      <c r="J107" s="745"/>
      <c r="K107" s="745"/>
      <c r="L107" s="745"/>
      <c r="M107" s="745"/>
      <c r="N107" s="745"/>
      <c r="O107" s="745"/>
      <c r="P107" s="745"/>
      <c r="Q107" s="745"/>
      <c r="R107" s="745"/>
      <c r="S107" s="745"/>
      <c r="T107" s="745"/>
      <c r="U107" s="745"/>
      <c r="V107" s="747"/>
    </row>
    <row r="108" spans="4:22" ht="11.25">
      <c r="D108" s="745"/>
      <c r="E108" s="745"/>
      <c r="F108" s="745"/>
      <c r="G108" s="745"/>
      <c r="H108" s="745"/>
      <c r="I108" s="745"/>
      <c r="J108" s="745"/>
      <c r="K108" s="745"/>
      <c r="L108" s="745"/>
      <c r="M108" s="745"/>
      <c r="N108" s="745"/>
      <c r="O108" s="745"/>
      <c r="P108" s="745"/>
      <c r="Q108" s="745"/>
      <c r="R108" s="745"/>
      <c r="S108" s="745"/>
      <c r="T108" s="745"/>
      <c r="U108" s="745"/>
      <c r="V108" s="747"/>
    </row>
    <row r="109" spans="4:22" ht="11.25">
      <c r="D109" s="745"/>
      <c r="E109" s="745"/>
      <c r="F109" s="745"/>
      <c r="G109" s="745"/>
      <c r="H109" s="745"/>
      <c r="I109" s="745"/>
      <c r="J109" s="745"/>
      <c r="K109" s="745"/>
      <c r="L109" s="745"/>
      <c r="M109" s="745"/>
      <c r="N109" s="745"/>
      <c r="O109" s="745"/>
      <c r="P109" s="745"/>
      <c r="Q109" s="745"/>
      <c r="R109" s="745"/>
      <c r="S109" s="745"/>
      <c r="T109" s="745"/>
      <c r="U109" s="745"/>
      <c r="V109" s="747"/>
    </row>
    <row r="110" spans="4:22" ht="11.25">
      <c r="D110" s="745"/>
      <c r="E110" s="745"/>
      <c r="F110" s="745"/>
      <c r="G110" s="745"/>
      <c r="H110" s="745"/>
      <c r="I110" s="745"/>
      <c r="J110" s="745"/>
      <c r="K110" s="745"/>
      <c r="L110" s="745"/>
      <c r="M110" s="745"/>
      <c r="N110" s="745"/>
      <c r="O110" s="745"/>
      <c r="P110" s="745"/>
      <c r="Q110" s="745"/>
      <c r="R110" s="745"/>
      <c r="S110" s="745"/>
      <c r="T110" s="745"/>
      <c r="U110" s="745"/>
      <c r="V110" s="747"/>
    </row>
    <row r="111" spans="4:22" ht="11.25">
      <c r="D111" s="745"/>
      <c r="E111" s="745"/>
      <c r="F111" s="745"/>
      <c r="G111" s="745"/>
      <c r="H111" s="745"/>
      <c r="I111" s="745"/>
      <c r="J111" s="745"/>
      <c r="K111" s="745"/>
      <c r="L111" s="745"/>
      <c r="M111" s="745"/>
      <c r="N111" s="745"/>
      <c r="O111" s="745"/>
      <c r="P111" s="745"/>
      <c r="Q111" s="745"/>
      <c r="R111" s="745"/>
      <c r="S111" s="745"/>
      <c r="T111" s="745"/>
      <c r="U111" s="745"/>
      <c r="V111" s="747"/>
    </row>
    <row r="112" spans="4:22" ht="11.25">
      <c r="D112" s="745"/>
      <c r="E112" s="745"/>
      <c r="F112" s="745"/>
      <c r="G112" s="745"/>
      <c r="H112" s="745"/>
      <c r="I112" s="745"/>
      <c r="J112" s="745"/>
      <c r="K112" s="745"/>
      <c r="L112" s="745"/>
      <c r="M112" s="745"/>
      <c r="N112" s="745"/>
      <c r="O112" s="745"/>
      <c r="P112" s="745"/>
      <c r="Q112" s="745"/>
      <c r="R112" s="745"/>
      <c r="S112" s="745"/>
      <c r="T112" s="745"/>
      <c r="U112" s="745"/>
      <c r="V112" s="747"/>
    </row>
    <row r="113" spans="4:22" ht="11.25">
      <c r="D113" s="745"/>
      <c r="E113" s="745"/>
      <c r="F113" s="745"/>
      <c r="G113" s="745"/>
      <c r="H113" s="745"/>
      <c r="I113" s="745"/>
      <c r="J113" s="745"/>
      <c r="K113" s="745"/>
      <c r="L113" s="745"/>
      <c r="M113" s="745"/>
      <c r="N113" s="745"/>
      <c r="O113" s="745"/>
      <c r="P113" s="745"/>
      <c r="Q113" s="745"/>
      <c r="R113" s="745"/>
      <c r="S113" s="745"/>
      <c r="T113" s="745"/>
      <c r="U113" s="745"/>
      <c r="V113" s="747"/>
    </row>
    <row r="114" spans="4:22" ht="11.25">
      <c r="D114" s="745"/>
      <c r="E114" s="745"/>
      <c r="F114" s="745"/>
      <c r="G114" s="745"/>
      <c r="H114" s="745"/>
      <c r="I114" s="745"/>
      <c r="J114" s="745"/>
      <c r="K114" s="745"/>
      <c r="L114" s="745"/>
      <c r="M114" s="745"/>
      <c r="N114" s="745"/>
      <c r="O114" s="745"/>
      <c r="P114" s="745"/>
      <c r="Q114" s="745"/>
      <c r="R114" s="745"/>
      <c r="S114" s="745"/>
      <c r="T114" s="745"/>
      <c r="U114" s="745"/>
      <c r="V114" s="747"/>
    </row>
    <row r="115" spans="4:22" ht="11.25">
      <c r="D115" s="745"/>
      <c r="E115" s="745"/>
      <c r="F115" s="745"/>
      <c r="G115" s="745"/>
      <c r="H115" s="745"/>
      <c r="I115" s="745"/>
      <c r="J115" s="745"/>
      <c r="K115" s="745"/>
      <c r="L115" s="745"/>
      <c r="M115" s="745"/>
      <c r="N115" s="745"/>
      <c r="O115" s="745"/>
      <c r="P115" s="745"/>
      <c r="Q115" s="745"/>
      <c r="R115" s="745"/>
      <c r="S115" s="745"/>
      <c r="T115" s="745"/>
      <c r="U115" s="745"/>
      <c r="V115" s="747"/>
    </row>
    <row r="116" spans="4:22" ht="11.25">
      <c r="D116" s="745"/>
      <c r="E116" s="745"/>
      <c r="F116" s="745"/>
      <c r="G116" s="745"/>
      <c r="H116" s="745"/>
      <c r="I116" s="745"/>
      <c r="J116" s="745"/>
      <c r="K116" s="745"/>
      <c r="L116" s="745"/>
      <c r="M116" s="745"/>
      <c r="N116" s="745"/>
      <c r="O116" s="745"/>
      <c r="P116" s="745"/>
      <c r="Q116" s="745"/>
      <c r="R116" s="745"/>
      <c r="S116" s="745"/>
      <c r="T116" s="745"/>
      <c r="U116" s="745"/>
      <c r="V116" s="747"/>
    </row>
    <row r="117" spans="4:22" ht="11.25">
      <c r="D117" s="745"/>
      <c r="E117" s="745"/>
      <c r="F117" s="745"/>
      <c r="G117" s="745"/>
      <c r="H117" s="745"/>
      <c r="I117" s="745"/>
      <c r="J117" s="745"/>
      <c r="K117" s="745"/>
      <c r="L117" s="745"/>
      <c r="M117" s="745"/>
      <c r="N117" s="745"/>
      <c r="O117" s="745"/>
      <c r="P117" s="745"/>
      <c r="Q117" s="745"/>
      <c r="R117" s="745"/>
      <c r="S117" s="745"/>
      <c r="T117" s="745"/>
      <c r="U117" s="745"/>
      <c r="V117" s="747"/>
    </row>
    <row r="118" spans="4:22" ht="11.25">
      <c r="D118" s="745"/>
      <c r="E118" s="745"/>
      <c r="F118" s="745"/>
      <c r="G118" s="745"/>
      <c r="H118" s="745"/>
      <c r="I118" s="745"/>
      <c r="J118" s="745"/>
      <c r="K118" s="745"/>
      <c r="L118" s="745"/>
      <c r="M118" s="745"/>
      <c r="N118" s="745"/>
      <c r="O118" s="745"/>
      <c r="P118" s="745"/>
      <c r="Q118" s="745"/>
      <c r="R118" s="745"/>
      <c r="S118" s="745"/>
      <c r="T118" s="745"/>
      <c r="U118" s="745"/>
      <c r="V118" s="747"/>
    </row>
    <row r="119" spans="4:22" ht="11.25">
      <c r="D119" s="745"/>
      <c r="E119" s="745"/>
      <c r="F119" s="745"/>
      <c r="G119" s="745"/>
      <c r="H119" s="745"/>
      <c r="I119" s="745"/>
      <c r="J119" s="745"/>
      <c r="K119" s="745"/>
      <c r="L119" s="745"/>
      <c r="M119" s="745"/>
      <c r="N119" s="745"/>
      <c r="O119" s="745"/>
      <c r="P119" s="745"/>
      <c r="Q119" s="745"/>
      <c r="R119" s="745"/>
      <c r="S119" s="745"/>
      <c r="T119" s="745"/>
      <c r="U119" s="745"/>
      <c r="V119" s="747"/>
    </row>
    <row r="120" spans="4:22" ht="11.25">
      <c r="D120" s="745"/>
      <c r="E120" s="745"/>
      <c r="F120" s="745"/>
      <c r="G120" s="745"/>
      <c r="H120" s="745"/>
      <c r="I120" s="745"/>
      <c r="J120" s="745"/>
      <c r="K120" s="745"/>
      <c r="L120" s="745"/>
      <c r="M120" s="745"/>
      <c r="N120" s="745"/>
      <c r="O120" s="745"/>
      <c r="P120" s="745"/>
      <c r="Q120" s="745"/>
      <c r="R120" s="745"/>
      <c r="S120" s="745"/>
      <c r="T120" s="745"/>
      <c r="U120" s="745"/>
      <c r="V120" s="747"/>
    </row>
    <row r="121" spans="4:22" ht="11.25">
      <c r="D121" s="745"/>
      <c r="E121" s="745"/>
      <c r="F121" s="745"/>
      <c r="G121" s="745"/>
      <c r="H121" s="745"/>
      <c r="I121" s="745"/>
      <c r="J121" s="745"/>
      <c r="K121" s="745"/>
      <c r="L121" s="745"/>
      <c r="M121" s="745"/>
      <c r="N121" s="745"/>
      <c r="O121" s="745"/>
      <c r="P121" s="745"/>
      <c r="Q121" s="745"/>
      <c r="R121" s="745"/>
      <c r="S121" s="745"/>
      <c r="T121" s="745"/>
      <c r="U121" s="745"/>
      <c r="V121" s="747"/>
    </row>
    <row r="122" spans="4:22" ht="11.25">
      <c r="D122" s="745"/>
      <c r="E122" s="745"/>
      <c r="F122" s="745"/>
      <c r="G122" s="745"/>
      <c r="H122" s="745"/>
      <c r="I122" s="745"/>
      <c r="J122" s="745"/>
      <c r="K122" s="745"/>
      <c r="L122" s="745"/>
      <c r="M122" s="745"/>
      <c r="N122" s="745"/>
      <c r="O122" s="745"/>
      <c r="P122" s="745"/>
      <c r="Q122" s="745"/>
      <c r="R122" s="745"/>
      <c r="S122" s="745"/>
      <c r="T122" s="745"/>
      <c r="U122" s="745"/>
      <c r="V122" s="747"/>
    </row>
    <row r="123" spans="4:22" ht="11.25">
      <c r="D123" s="745"/>
      <c r="E123" s="745"/>
      <c r="F123" s="745"/>
      <c r="G123" s="745"/>
      <c r="H123" s="745"/>
      <c r="I123" s="745"/>
      <c r="J123" s="745"/>
      <c r="K123" s="745"/>
      <c r="L123" s="745"/>
      <c r="M123" s="745"/>
      <c r="N123" s="745"/>
      <c r="O123" s="745"/>
      <c r="P123" s="745"/>
      <c r="Q123" s="745"/>
      <c r="R123" s="745"/>
      <c r="S123" s="745"/>
      <c r="T123" s="745"/>
      <c r="U123" s="745"/>
      <c r="V123" s="747"/>
    </row>
    <row r="124" spans="4:22" ht="11.25">
      <c r="D124" s="745"/>
      <c r="E124" s="745"/>
      <c r="F124" s="745"/>
      <c r="G124" s="745"/>
      <c r="H124" s="745"/>
      <c r="I124" s="745"/>
      <c r="J124" s="745"/>
      <c r="K124" s="745"/>
      <c r="L124" s="745"/>
      <c r="M124" s="745"/>
      <c r="N124" s="745"/>
      <c r="O124" s="745"/>
      <c r="P124" s="745"/>
      <c r="Q124" s="745"/>
      <c r="R124" s="745"/>
      <c r="S124" s="745"/>
      <c r="T124" s="745"/>
      <c r="U124" s="745"/>
      <c r="V124" s="747"/>
    </row>
    <row r="125" spans="5:22" ht="11.25">
      <c r="E125" s="745"/>
      <c r="F125" s="745"/>
      <c r="G125" s="745"/>
      <c r="H125" s="745"/>
      <c r="J125" s="745"/>
      <c r="K125" s="745"/>
      <c r="L125" s="745"/>
      <c r="M125" s="745"/>
      <c r="N125" s="745"/>
      <c r="O125" s="745"/>
      <c r="P125" s="745"/>
      <c r="Q125" s="745"/>
      <c r="R125" s="745"/>
      <c r="S125" s="745"/>
      <c r="T125" s="745"/>
      <c r="U125" s="745"/>
      <c r="V125" s="747"/>
    </row>
    <row r="126" spans="6:22" ht="11.25">
      <c r="F126" s="745"/>
      <c r="G126" s="745"/>
      <c r="H126" s="745"/>
      <c r="K126" s="745"/>
      <c r="L126" s="745"/>
      <c r="M126" s="745"/>
      <c r="N126" s="745"/>
      <c r="O126" s="745"/>
      <c r="P126" s="745"/>
      <c r="Q126" s="745"/>
      <c r="R126" s="745"/>
      <c r="S126" s="745"/>
      <c r="T126" s="745"/>
      <c r="U126" s="745"/>
      <c r="V126" s="747"/>
    </row>
    <row r="127" spans="7:8" ht="11.25">
      <c r="G127" s="745"/>
      <c r="H127" s="745"/>
    </row>
    <row r="128" spans="7:8" ht="11.25">
      <c r="G128" s="745"/>
      <c r="H128" s="745"/>
    </row>
    <row r="129" spans="7:8" ht="11.25">
      <c r="G129" s="745"/>
      <c r="H129" s="745"/>
    </row>
    <row r="130" spans="7:8" ht="11.25">
      <c r="G130" s="745"/>
      <c r="H130" s="745"/>
    </row>
    <row r="131" spans="7:8" ht="11.25">
      <c r="G131" s="745"/>
      <c r="H131" s="745"/>
    </row>
    <row r="132" spans="7:8" ht="11.25">
      <c r="G132" s="745"/>
      <c r="H132" s="745"/>
    </row>
    <row r="133" spans="7:8" ht="11.25">
      <c r="G133" s="745"/>
      <c r="H133" s="745"/>
    </row>
    <row r="134" spans="7:8" ht="11.25">
      <c r="G134" s="745"/>
      <c r="H134" s="745"/>
    </row>
  </sheetData>
  <sheetProtection password="DAD6" sheet="1" formatCells="0" formatColumns="0" formatRows="0" insertColumns="0" insertRows="0" insertHyperlinks="0" deleteColumns="0" deleteRows="0" sort="0" autoFilter="0" pivotTables="0"/>
  <mergeCells count="6">
    <mergeCell ref="O3:S3"/>
    <mergeCell ref="B9:C9"/>
    <mergeCell ref="B54:C54"/>
    <mergeCell ref="B76:C76"/>
    <mergeCell ref="B46:C46"/>
    <mergeCell ref="D3:L3"/>
  </mergeCells>
  <hyperlinks>
    <hyperlink ref="X11" location="'Domestic Business Results'!A1" display="Domestic Business Results"/>
    <hyperlink ref="X12" location="'Domestic Wireline Results'!A1" display="Domestic Wireline Results"/>
    <hyperlink ref="X13" location="'Domestic Mobile Results'!A1" display="Domestic Mobile Results"/>
    <hyperlink ref="X14" location="'TIM Brasil Results'!A1" display="TIM Brasil Results"/>
    <hyperlink ref="X15" location="'European BroadBand'!A1" display="European BroadBand"/>
    <hyperlink ref="X19" location="'Main Group''s Subsidiries'!A1" display="Main Group's Subsidiaries"/>
    <hyperlink ref="X8" location="'Key fin data by BU YTD'!A1" display="Key Financial data by BU YTD"/>
    <hyperlink ref="X20" location="'Analyst Tools'!A1" display="Analyst Tools"/>
    <hyperlink ref="X21" location="'Historic Data'!A1" display="Historic Data"/>
    <hyperlink ref="X7" location="'P&amp;L Group by quarter'!A1" display="P&amp;L Group by quarter"/>
    <hyperlink ref="X9" location="'Key fin. data by BU by quarter'!A1" display="Key Financial data by quarter"/>
    <hyperlink ref="X6" location="'P&amp;L Group YTD'!A1" display="P&amp;L Group YTD"/>
    <hyperlink ref="X10" location="'Balance Sheet'!A1" display="Balance Sheet"/>
    <hyperlink ref="X16" location="'1Q Rep&amp;org.'!A1" display="Repoerted &amp; Organic figures"/>
    <hyperlink ref="X17" location="'2Q Rep&amp;org.'!A1" display="Reported &amp; Organic figures 2Q08 vs 2Q07"/>
    <hyperlink ref="X18" location="'3Q Rep&amp;org.'!A1" display="Reported &amp; Organic figures 3Q08 vs 3Q07"/>
    <hyperlink ref="X22" location="Cover!A1" display="Cover"/>
  </hyperlinks>
  <printOptions horizontalCentered="1"/>
  <pageMargins left="0" right="0" top="0.27" bottom="0.34" header="0.5118110236220472" footer="0.15748031496062992"/>
  <pageSetup fitToHeight="1" fitToWidth="1"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codeName="Foglio13"/>
  <dimension ref="B1:AH45"/>
  <sheetViews>
    <sheetView showGridLines="0" zoomScaleSheetLayoutView="100" workbookViewId="0" topLeftCell="C1">
      <pane xSplit="1" ySplit="3" topLeftCell="D4" activePane="bottomRight" state="frozen"/>
      <selection pane="topLeft" activeCell="E16" sqref="E16"/>
      <selection pane="topRight" activeCell="E16" sqref="E16"/>
      <selection pane="bottomLeft" activeCell="E16" sqref="E16"/>
      <selection pane="bottomRight" activeCell="C2" sqref="C2"/>
    </sheetView>
  </sheetViews>
  <sheetFormatPr defaultColWidth="9.140625" defaultRowHeight="12.75"/>
  <cols>
    <col min="1" max="1" width="0.9921875" style="3" customWidth="1"/>
    <col min="2" max="2" width="2.7109375" style="3" customWidth="1"/>
    <col min="3" max="3" width="62.8515625" style="3" customWidth="1"/>
    <col min="4" max="4" width="9.00390625" style="3" hidden="1" customWidth="1"/>
    <col min="5" max="5" width="8.7109375" style="3" hidden="1" customWidth="1"/>
    <col min="6" max="7" width="8.421875" style="3" hidden="1" customWidth="1"/>
    <col min="8" max="8" width="8.28125" style="3" hidden="1" customWidth="1"/>
    <col min="9" max="9" width="0.9921875" style="3" hidden="1" customWidth="1"/>
    <col min="10" max="10" width="8.421875" style="3" bestFit="1" customWidth="1"/>
    <col min="11" max="11" width="8.8515625" style="3" bestFit="1" customWidth="1"/>
    <col min="12" max="12" width="8.28125" style="3" customWidth="1"/>
    <col min="13" max="14" width="8.57421875" style="3" customWidth="1"/>
    <col min="15" max="15" width="8.00390625" style="3" customWidth="1"/>
    <col min="16" max="17" width="8.57421875" style="3" customWidth="1"/>
    <col min="18" max="18" width="8.00390625" style="3" customWidth="1"/>
    <col min="19" max="20" width="8.57421875" style="3" customWidth="1"/>
    <col min="21" max="21" width="8.00390625" style="3" customWidth="1"/>
    <col min="22" max="22" width="9.00390625" style="3" bestFit="1" customWidth="1"/>
    <col min="23" max="23" width="8.57421875" style="3" customWidth="1"/>
    <col min="24" max="24" width="8.00390625" style="3" customWidth="1"/>
    <col min="25" max="25" width="9.00390625" style="3" bestFit="1" customWidth="1"/>
    <col min="26" max="26" width="8.57421875" style="3" customWidth="1"/>
    <col min="27" max="27" width="9.00390625" style="3" bestFit="1" customWidth="1"/>
    <col min="28" max="28" width="8.421875" style="3" bestFit="1" customWidth="1"/>
    <col min="29" max="29" width="9.00390625" style="3" bestFit="1" customWidth="1"/>
    <col min="30" max="30" width="8.421875" style="3" bestFit="1" customWidth="1"/>
    <col min="31" max="31" width="2.8515625" style="3" customWidth="1"/>
    <col min="32" max="32" width="1.421875" style="3" customWidth="1"/>
    <col min="33" max="33" width="30.8515625" style="3" customWidth="1"/>
    <col min="34" max="16384" width="9.140625" style="3" customWidth="1"/>
  </cols>
  <sheetData>
    <row r="1" spans="3:5" ht="12.75">
      <c r="C1" s="968"/>
      <c r="D1" s="968"/>
      <c r="E1" s="968"/>
    </row>
    <row r="2" spans="2:33" ht="36.75" customHeight="1">
      <c r="B2" s="960"/>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8"/>
      <c r="AG2" s="1347"/>
    </row>
    <row r="3" spans="2:33" ht="12.75">
      <c r="B3" s="15"/>
      <c r="C3" s="61"/>
      <c r="D3" s="18" t="s">
        <v>2</v>
      </c>
      <c r="E3" s="18" t="s">
        <v>3</v>
      </c>
      <c r="F3" s="18" t="s">
        <v>4</v>
      </c>
      <c r="G3" s="18" t="s">
        <v>5</v>
      </c>
      <c r="H3" s="18" t="s">
        <v>88</v>
      </c>
      <c r="I3" s="19"/>
      <c r="J3" s="17" t="s">
        <v>6</v>
      </c>
      <c r="K3" s="22" t="s">
        <v>134</v>
      </c>
      <c r="L3" s="22"/>
      <c r="M3" s="17" t="s">
        <v>142</v>
      </c>
      <c r="N3" s="22" t="s">
        <v>134</v>
      </c>
      <c r="O3" s="22"/>
      <c r="P3" s="17" t="s">
        <v>143</v>
      </c>
      <c r="Q3" s="22" t="s">
        <v>134</v>
      </c>
      <c r="R3" s="22"/>
      <c r="S3" s="17" t="s">
        <v>228</v>
      </c>
      <c r="T3" s="22" t="s">
        <v>134</v>
      </c>
      <c r="U3" s="22"/>
      <c r="V3" s="17" t="s">
        <v>226</v>
      </c>
      <c r="W3" s="22" t="s">
        <v>134</v>
      </c>
      <c r="X3" s="22"/>
      <c r="Y3" s="18" t="s">
        <v>339</v>
      </c>
      <c r="Z3" s="1393" t="s">
        <v>365</v>
      </c>
      <c r="AA3" s="18" t="s">
        <v>435</v>
      </c>
      <c r="AB3" s="1393" t="s">
        <v>365</v>
      </c>
      <c r="AC3" s="18" t="s">
        <v>537</v>
      </c>
      <c r="AD3" s="1393" t="s">
        <v>365</v>
      </c>
      <c r="AE3" s="74"/>
      <c r="AG3" s="30" t="s">
        <v>59</v>
      </c>
    </row>
    <row r="4" spans="2:33" ht="12.75">
      <c r="B4" s="15"/>
      <c r="C4" s="62" t="s">
        <v>81</v>
      </c>
      <c r="D4" s="316"/>
      <c r="E4" s="316"/>
      <c r="F4" s="316"/>
      <c r="G4" s="316"/>
      <c r="H4" s="315"/>
      <c r="I4" s="404"/>
      <c r="J4" s="316"/>
      <c r="K4" s="21"/>
      <c r="L4" s="21"/>
      <c r="M4" s="21"/>
      <c r="N4" s="21"/>
      <c r="O4" s="21"/>
      <c r="P4" s="21"/>
      <c r="Q4" s="21"/>
      <c r="R4" s="21"/>
      <c r="S4" s="21"/>
      <c r="T4" s="21"/>
      <c r="U4" s="21"/>
      <c r="V4" s="315"/>
      <c r="W4" s="21"/>
      <c r="X4" s="21"/>
      <c r="Y4" s="315"/>
      <c r="Z4" s="21"/>
      <c r="AA4" s="315"/>
      <c r="AB4" s="21"/>
      <c r="AC4" s="315"/>
      <c r="AD4" s="21"/>
      <c r="AE4" s="74"/>
      <c r="AG4" s="31" t="s">
        <v>56</v>
      </c>
    </row>
    <row r="5" spans="2:33" ht="12.75">
      <c r="B5" s="15"/>
      <c r="C5" s="25" t="s">
        <v>132</v>
      </c>
      <c r="D5" s="405"/>
      <c r="E5" s="406"/>
      <c r="F5" s="406"/>
      <c r="G5" s="406"/>
      <c r="H5" s="406"/>
      <c r="I5" s="407"/>
      <c r="J5" s="405"/>
      <c r="K5" s="408"/>
      <c r="L5" s="408"/>
      <c r="M5" s="408"/>
      <c r="N5" s="408"/>
      <c r="O5" s="408"/>
      <c r="P5" s="408"/>
      <c r="Q5" s="408"/>
      <c r="R5" s="408"/>
      <c r="S5" s="408"/>
      <c r="T5" s="408"/>
      <c r="U5" s="408"/>
      <c r="V5" s="406"/>
      <c r="W5" s="408"/>
      <c r="X5" s="408"/>
      <c r="Y5" s="406"/>
      <c r="Z5" s="408"/>
      <c r="AA5" s="406"/>
      <c r="AB5" s="408"/>
      <c r="AC5" s="406"/>
      <c r="AD5" s="408"/>
      <c r="AE5" s="1380"/>
      <c r="AG5" s="139" t="s">
        <v>206</v>
      </c>
    </row>
    <row r="6" spans="2:33" ht="12.75">
      <c r="B6" s="15"/>
      <c r="C6" s="37" t="s">
        <v>168</v>
      </c>
      <c r="D6" s="405">
        <v>24867</v>
      </c>
      <c r="E6" s="406">
        <v>24477</v>
      </c>
      <c r="F6" s="406">
        <v>24228</v>
      </c>
      <c r="G6" s="406">
        <v>23698</v>
      </c>
      <c r="H6" s="406">
        <v>23698</v>
      </c>
      <c r="I6" s="406"/>
      <c r="J6" s="405">
        <v>23205</v>
      </c>
      <c r="K6" s="408">
        <v>-0.0668355652069007</v>
      </c>
      <c r="L6" s="408"/>
      <c r="M6" s="405">
        <v>22836</v>
      </c>
      <c r="N6" s="408">
        <v>-0.0670425297217796</v>
      </c>
      <c r="O6" s="408"/>
      <c r="P6" s="405">
        <v>22538</v>
      </c>
      <c r="Q6" s="408">
        <v>-0.06975400363216111</v>
      </c>
      <c r="R6" s="408"/>
      <c r="S6" s="405">
        <v>22124</v>
      </c>
      <c r="T6" s="408">
        <v>-0.06641910709764542</v>
      </c>
      <c r="U6" s="408"/>
      <c r="V6" s="406">
        <v>22124</v>
      </c>
      <c r="W6" s="408">
        <v>-0.06641910709764542</v>
      </c>
      <c r="X6" s="408"/>
      <c r="Y6" s="406">
        <v>21648</v>
      </c>
      <c r="Z6" s="408">
        <v>-0.06709760827407885</v>
      </c>
      <c r="AA6" s="406">
        <v>20951.832</v>
      </c>
      <c r="AB6" s="408">
        <v>-0.08250867052023125</v>
      </c>
      <c r="AC6" s="406">
        <v>20539</v>
      </c>
      <c r="AD6" s="408">
        <f>+AC6/P6-1</f>
        <v>-0.0886946490371816</v>
      </c>
      <c r="AE6" s="1380"/>
      <c r="AG6" s="139" t="s">
        <v>208</v>
      </c>
    </row>
    <row r="7" spans="2:33" ht="12.75">
      <c r="B7" s="15"/>
      <c r="C7" s="37" t="s">
        <v>169</v>
      </c>
      <c r="D7" s="405">
        <v>21502</v>
      </c>
      <c r="E7" s="406">
        <v>21217</v>
      </c>
      <c r="F7" s="406">
        <v>20992</v>
      </c>
      <c r="G7" s="406">
        <v>20540</v>
      </c>
      <c r="H7" s="406">
        <v>20540</v>
      </c>
      <c r="I7" s="406"/>
      <c r="J7" s="405">
        <v>20118</v>
      </c>
      <c r="K7" s="408">
        <v>-0.06436610547856014</v>
      </c>
      <c r="L7" s="408"/>
      <c r="M7" s="405">
        <v>19811</v>
      </c>
      <c r="N7" s="408">
        <v>-0.06626761559127115</v>
      </c>
      <c r="O7" s="408"/>
      <c r="P7" s="405">
        <v>19577</v>
      </c>
      <c r="Q7" s="408">
        <v>-0.06740663109756095</v>
      </c>
      <c r="R7" s="408"/>
      <c r="S7" s="405">
        <v>19221</v>
      </c>
      <c r="T7" s="408">
        <v>-0.06421616358325222</v>
      </c>
      <c r="U7" s="408"/>
      <c r="V7" s="406">
        <v>19221</v>
      </c>
      <c r="W7" s="408">
        <v>-0.06421616358325222</v>
      </c>
      <c r="X7" s="408"/>
      <c r="Y7" s="406">
        <v>18797</v>
      </c>
      <c r="Z7" s="408">
        <v>-0.06566259071478275</v>
      </c>
      <c r="AA7" s="406">
        <v>18146</v>
      </c>
      <c r="AB7" s="408">
        <v>-0.08404421785876537</v>
      </c>
      <c r="AC7" s="406">
        <v>17776</v>
      </c>
      <c r="AD7" s="408">
        <f>+AC7/P7-1</f>
        <v>-0.09199570925065126</v>
      </c>
      <c r="AE7" s="1380"/>
      <c r="AG7" s="139" t="s">
        <v>207</v>
      </c>
    </row>
    <row r="8" spans="2:33" ht="12.75">
      <c r="B8" s="15"/>
      <c r="C8" s="37" t="s">
        <v>136</v>
      </c>
      <c r="D8" s="405">
        <v>5982</v>
      </c>
      <c r="E8" s="406">
        <v>6266</v>
      </c>
      <c r="F8" s="406">
        <v>6457</v>
      </c>
      <c r="G8" s="406">
        <v>6770</v>
      </c>
      <c r="H8" s="406">
        <v>6770</v>
      </c>
      <c r="I8" s="406"/>
      <c r="J8" s="405">
        <v>7095</v>
      </c>
      <c r="K8" s="408">
        <v>0.18605817452357076</v>
      </c>
      <c r="L8" s="408"/>
      <c r="M8" s="405">
        <v>7277</v>
      </c>
      <c r="N8" s="408">
        <v>0.16134695180338343</v>
      </c>
      <c r="O8" s="408"/>
      <c r="P8" s="405">
        <v>7395</v>
      </c>
      <c r="Q8" s="408">
        <v>0.14526870063496977</v>
      </c>
      <c r="R8" s="408"/>
      <c r="S8" s="405">
        <v>7590</v>
      </c>
      <c r="T8" s="408">
        <v>0.12112259970457906</v>
      </c>
      <c r="U8" s="408"/>
      <c r="V8" s="406">
        <v>7590</v>
      </c>
      <c r="W8" s="408">
        <v>0.12112259970457906</v>
      </c>
      <c r="X8" s="408"/>
      <c r="Y8" s="406">
        <v>7728</v>
      </c>
      <c r="Z8" s="408">
        <v>0.08921775898520079</v>
      </c>
      <c r="AA8" s="406">
        <v>7792</v>
      </c>
      <c r="AB8" s="408">
        <v>0.07077092208327618</v>
      </c>
      <c r="AC8" s="406">
        <v>7914</v>
      </c>
      <c r="AD8" s="408">
        <f>+AC8/P8-1</f>
        <v>0.07018255578093302</v>
      </c>
      <c r="AE8" s="1380"/>
      <c r="AG8" s="139" t="s">
        <v>223</v>
      </c>
    </row>
    <row r="9" spans="2:33" ht="12.75">
      <c r="B9" s="15"/>
      <c r="C9" s="25" t="s">
        <v>112</v>
      </c>
      <c r="D9" s="405"/>
      <c r="E9" s="406"/>
      <c r="F9" s="406"/>
      <c r="G9" s="406"/>
      <c r="H9" s="406"/>
      <c r="I9" s="406"/>
      <c r="J9" s="405"/>
      <c r="K9" s="408"/>
      <c r="L9" s="408"/>
      <c r="M9" s="405"/>
      <c r="N9" s="408"/>
      <c r="O9" s="408"/>
      <c r="P9" s="405"/>
      <c r="Q9" s="408"/>
      <c r="R9" s="408"/>
      <c r="S9" s="405"/>
      <c r="T9" s="408"/>
      <c r="U9" s="408"/>
      <c r="V9" s="406"/>
      <c r="W9" s="408"/>
      <c r="X9" s="408"/>
      <c r="Y9" s="406"/>
      <c r="Z9" s="408"/>
      <c r="AA9" s="406"/>
      <c r="AB9" s="408"/>
      <c r="AC9" s="406"/>
      <c r="AD9" s="408"/>
      <c r="AE9" s="1380"/>
      <c r="AG9" s="139" t="s">
        <v>310</v>
      </c>
    </row>
    <row r="10" spans="2:33" ht="12.75">
      <c r="B10" s="15"/>
      <c r="C10" s="37" t="s">
        <v>111</v>
      </c>
      <c r="D10" s="405">
        <v>29664</v>
      </c>
      <c r="E10" s="406">
        <v>30408</v>
      </c>
      <c r="F10" s="406">
        <v>31488</v>
      </c>
      <c r="G10" s="406">
        <v>32450</v>
      </c>
      <c r="H10" s="406">
        <v>32450</v>
      </c>
      <c r="I10" s="406"/>
      <c r="J10" s="405">
        <v>33569</v>
      </c>
      <c r="K10" s="408">
        <v>0.13164104638619212</v>
      </c>
      <c r="L10" s="408"/>
      <c r="M10" s="405">
        <v>34312</v>
      </c>
      <c r="N10" s="408">
        <v>0.1283872665088135</v>
      </c>
      <c r="O10" s="408"/>
      <c r="P10" s="405">
        <v>35310</v>
      </c>
      <c r="Q10" s="408">
        <v>0.12137957317073167</v>
      </c>
      <c r="R10" s="408"/>
      <c r="S10" s="405">
        <v>36331</v>
      </c>
      <c r="T10" s="408">
        <v>0.11959938366718026</v>
      </c>
      <c r="U10" s="408"/>
      <c r="V10" s="406">
        <v>36331</v>
      </c>
      <c r="W10" s="408">
        <v>0.11959938366718026</v>
      </c>
      <c r="X10" s="408"/>
      <c r="Y10" s="406">
        <v>35930</v>
      </c>
      <c r="Z10" s="408">
        <v>0.07033274747534923</v>
      </c>
      <c r="AA10" s="406">
        <v>35796</v>
      </c>
      <c r="AB10" s="408">
        <v>0.043250174865936186</v>
      </c>
      <c r="AC10" s="406">
        <v>35274</v>
      </c>
      <c r="AD10" s="408">
        <f>+AC10/P10-1</f>
        <v>-0.0010195412064570863</v>
      </c>
      <c r="AE10" s="1380"/>
      <c r="AG10" s="139" t="s">
        <v>311</v>
      </c>
    </row>
    <row r="11" spans="2:33" ht="12.75">
      <c r="B11" s="15"/>
      <c r="C11" s="37" t="s">
        <v>125</v>
      </c>
      <c r="D11" s="405">
        <v>2979</v>
      </c>
      <c r="E11" s="406">
        <v>3421</v>
      </c>
      <c r="F11" s="406">
        <v>3892</v>
      </c>
      <c r="G11" s="406">
        <v>4206</v>
      </c>
      <c r="H11" s="406">
        <v>4206</v>
      </c>
      <c r="I11" s="406"/>
      <c r="J11" s="405">
        <v>4666</v>
      </c>
      <c r="K11" s="408">
        <v>0.5662974152400135</v>
      </c>
      <c r="L11" s="408"/>
      <c r="M11" s="405">
        <v>5147</v>
      </c>
      <c r="N11" s="408">
        <v>0.5045308389359837</v>
      </c>
      <c r="O11" s="408"/>
      <c r="P11" s="405">
        <v>5728</v>
      </c>
      <c r="Q11" s="408">
        <v>0.47173689619732784</v>
      </c>
      <c r="R11" s="408"/>
      <c r="S11" s="405">
        <v>6116</v>
      </c>
      <c r="T11" s="408">
        <v>0.4541131716595339</v>
      </c>
      <c r="U11" s="408"/>
      <c r="V11" s="406">
        <v>6116</v>
      </c>
      <c r="W11" s="408">
        <v>0.4541131716595339</v>
      </c>
      <c r="X11" s="408"/>
      <c r="Y11" s="406">
        <v>6338</v>
      </c>
      <c r="Z11" s="408">
        <v>0.35833690527218165</v>
      </c>
      <c r="AA11" s="406">
        <v>6499</v>
      </c>
      <c r="AB11" s="408">
        <v>0.2626772877404313</v>
      </c>
      <c r="AC11" s="406">
        <v>6802</v>
      </c>
      <c r="AD11" s="408">
        <f>+AC11/P11-1</f>
        <v>0.1875</v>
      </c>
      <c r="AE11" s="1380"/>
      <c r="AG11" s="139" t="s">
        <v>220</v>
      </c>
    </row>
    <row r="12" spans="2:33" ht="12.75">
      <c r="B12" s="15"/>
      <c r="C12" s="63"/>
      <c r="D12" s="409"/>
      <c r="E12" s="410"/>
      <c r="F12" s="410"/>
      <c r="G12" s="410"/>
      <c r="H12" s="411"/>
      <c r="I12" s="412"/>
      <c r="J12" s="409"/>
      <c r="K12" s="404"/>
      <c r="L12" s="1494" t="s">
        <v>146</v>
      </c>
      <c r="M12" s="404"/>
      <c r="N12" s="404"/>
      <c r="O12" s="1494" t="s">
        <v>146</v>
      </c>
      <c r="P12" s="404"/>
      <c r="Q12" s="404"/>
      <c r="R12" s="1494" t="s">
        <v>144</v>
      </c>
      <c r="S12" s="404"/>
      <c r="T12" s="404"/>
      <c r="U12" s="1494" t="s">
        <v>144</v>
      </c>
      <c r="V12" s="411"/>
      <c r="W12" s="404"/>
      <c r="X12" s="1494" t="s">
        <v>144</v>
      </c>
      <c r="Y12" s="411"/>
      <c r="Z12" s="404"/>
      <c r="AA12" s="411"/>
      <c r="AB12" s="404"/>
      <c r="AC12" s="411"/>
      <c r="AD12" s="404"/>
      <c r="AE12" s="423"/>
      <c r="AG12" s="139" t="s">
        <v>221</v>
      </c>
    </row>
    <row r="13" spans="2:33" ht="13.5" customHeight="1">
      <c r="B13" s="15"/>
      <c r="C13" s="16" t="s">
        <v>11</v>
      </c>
      <c r="D13" s="32"/>
      <c r="E13" s="32"/>
      <c r="F13" s="32"/>
      <c r="G13" s="32"/>
      <c r="H13" s="302"/>
      <c r="I13" s="19"/>
      <c r="J13" s="32"/>
      <c r="K13" s="19"/>
      <c r="L13" s="1495"/>
      <c r="M13" s="19"/>
      <c r="N13" s="19"/>
      <c r="O13" s="1495"/>
      <c r="P13" s="19"/>
      <c r="Q13" s="19"/>
      <c r="R13" s="1495"/>
      <c r="S13" s="19"/>
      <c r="T13" s="19"/>
      <c r="U13" s="1495"/>
      <c r="V13" s="302"/>
      <c r="W13" s="19"/>
      <c r="X13" s="1495"/>
      <c r="Y13" s="302"/>
      <c r="Z13" s="19"/>
      <c r="AA13" s="302"/>
      <c r="AB13" s="19"/>
      <c r="AC13" s="302"/>
      <c r="AD13" s="19"/>
      <c r="AE13" s="423"/>
      <c r="AG13" s="139" t="s">
        <v>222</v>
      </c>
    </row>
    <row r="14" spans="2:33" ht="12.75">
      <c r="B14" s="15"/>
      <c r="C14" s="6" t="s">
        <v>0</v>
      </c>
      <c r="D14" s="413">
        <v>6297</v>
      </c>
      <c r="E14" s="413">
        <v>6580</v>
      </c>
      <c r="F14" s="413">
        <v>6346</v>
      </c>
      <c r="G14" s="413">
        <v>6562</v>
      </c>
      <c r="H14" s="413">
        <v>25785</v>
      </c>
      <c r="I14" s="414"/>
      <c r="J14" s="413">
        <v>6009</v>
      </c>
      <c r="K14" s="415">
        <v>-0.04573606479275849</v>
      </c>
      <c r="L14" s="415">
        <v>-0.026</v>
      </c>
      <c r="M14" s="413">
        <v>6173</v>
      </c>
      <c r="N14" s="415">
        <v>-0.06185410334346508</v>
      </c>
      <c r="O14" s="415">
        <v>-0.046</v>
      </c>
      <c r="P14" s="413">
        <v>5926</v>
      </c>
      <c r="Q14" s="415">
        <v>-0.06618342262842736</v>
      </c>
      <c r="R14" s="415">
        <v>-0.045</v>
      </c>
      <c r="S14" s="413">
        <v>6112</v>
      </c>
      <c r="T14" s="415">
        <v>-0.06857665345931119</v>
      </c>
      <c r="U14" s="855">
        <v>-0.05867857692900047</v>
      </c>
      <c r="V14" s="413">
        <v>24220</v>
      </c>
      <c r="W14" s="415">
        <v>-0.06069420205545861</v>
      </c>
      <c r="X14" s="855">
        <v>-0.044312038827289624</v>
      </c>
      <c r="Y14" s="413">
        <v>5619</v>
      </c>
      <c r="Z14" s="415">
        <v>-0.06490264603095353</v>
      </c>
      <c r="AA14" s="413">
        <v>5801</v>
      </c>
      <c r="AB14" s="415">
        <v>-0.06026243317673741</v>
      </c>
      <c r="AC14" s="413">
        <v>5734</v>
      </c>
      <c r="AD14" s="415">
        <f>+AC14/P14-1</f>
        <v>-0.0323995950050624</v>
      </c>
      <c r="AE14" s="425"/>
      <c r="AG14" s="139" t="s">
        <v>8</v>
      </c>
    </row>
    <row r="15" spans="2:33" ht="12.75">
      <c r="B15" s="15"/>
      <c r="C15" s="37" t="s">
        <v>129</v>
      </c>
      <c r="D15" s="405">
        <v>4286</v>
      </c>
      <c r="E15" s="405">
        <v>4313</v>
      </c>
      <c r="F15" s="405">
        <v>4108</v>
      </c>
      <c r="G15" s="405">
        <v>4281</v>
      </c>
      <c r="H15" s="405">
        <v>16988</v>
      </c>
      <c r="I15" s="416"/>
      <c r="J15" s="405">
        <v>3989</v>
      </c>
      <c r="K15" s="415">
        <v>-0.06929538030797944</v>
      </c>
      <c r="L15" s="415">
        <v>-0.043</v>
      </c>
      <c r="M15" s="405">
        <v>3994</v>
      </c>
      <c r="N15" s="415">
        <v>-0.07396243913749134</v>
      </c>
      <c r="O15" s="415">
        <v>-0.05</v>
      </c>
      <c r="P15" s="405">
        <v>3765</v>
      </c>
      <c r="Q15" s="415">
        <v>-0.08349561830574492</v>
      </c>
      <c r="R15" s="415">
        <v>-0.05</v>
      </c>
      <c r="S15" s="405">
        <v>3979</v>
      </c>
      <c r="T15" s="415">
        <v>-0.07054426535856106</v>
      </c>
      <c r="U15" s="855">
        <v>-0.05531813865147195</v>
      </c>
      <c r="V15" s="405">
        <v>15727</v>
      </c>
      <c r="W15" s="415">
        <v>-0.07422886743583701</v>
      </c>
      <c r="X15" s="855">
        <v>-0.04949836818566422</v>
      </c>
      <c r="Y15" s="405">
        <v>3746</v>
      </c>
      <c r="Z15" s="415">
        <v>-0.060917523188769085</v>
      </c>
      <c r="AA15" s="405">
        <v>3739</v>
      </c>
      <c r="AB15" s="415">
        <v>-0.06384576865297942</v>
      </c>
      <c r="AC15" s="405">
        <v>3643</v>
      </c>
      <c r="AD15" s="415">
        <f>+AC15/P15-1</f>
        <v>-0.0324037184594953</v>
      </c>
      <c r="AE15" s="425"/>
      <c r="AG15" s="139" t="s">
        <v>534</v>
      </c>
    </row>
    <row r="16" spans="2:34" ht="12.75">
      <c r="B16" s="15"/>
      <c r="C16" s="37" t="s">
        <v>131</v>
      </c>
      <c r="D16" s="405">
        <v>2370</v>
      </c>
      <c r="E16" s="405">
        <v>2612</v>
      </c>
      <c r="F16" s="405">
        <v>2583</v>
      </c>
      <c r="G16" s="405">
        <v>2645</v>
      </c>
      <c r="H16" s="405">
        <v>10210</v>
      </c>
      <c r="I16" s="416"/>
      <c r="J16" s="405">
        <v>2365</v>
      </c>
      <c r="K16" s="415">
        <v>-0.002109704641350185</v>
      </c>
      <c r="L16" s="415"/>
      <c r="M16" s="405">
        <v>2551</v>
      </c>
      <c r="N16" s="415">
        <v>-0.023353751914241938</v>
      </c>
      <c r="O16" s="415"/>
      <c r="P16" s="405">
        <v>2513</v>
      </c>
      <c r="Q16" s="415">
        <v>-0.027</v>
      </c>
      <c r="R16" s="415"/>
      <c r="S16" s="405">
        <v>2493</v>
      </c>
      <c r="T16" s="415">
        <v>-0.05746691871455578</v>
      </c>
      <c r="U16" s="855"/>
      <c r="V16" s="405">
        <v>9922</v>
      </c>
      <c r="W16" s="415">
        <v>-0.028207639569049925</v>
      </c>
      <c r="X16" s="855"/>
      <c r="Y16" s="405">
        <v>2236</v>
      </c>
      <c r="Z16" s="415">
        <v>-0.054545454545454564</v>
      </c>
      <c r="AA16" s="405">
        <v>2433</v>
      </c>
      <c r="AB16" s="415">
        <v>-0.046256370050960394</v>
      </c>
      <c r="AC16" s="405">
        <v>2451</v>
      </c>
      <c r="AD16" s="415">
        <f>+AC16/P16-1</f>
        <v>-0.02467170712296063</v>
      </c>
      <c r="AE16" s="425"/>
      <c r="AG16" s="139" t="s">
        <v>535</v>
      </c>
      <c r="AH16" s="4"/>
    </row>
    <row r="17" spans="2:33" s="4" customFormat="1" ht="12.75">
      <c r="B17" s="484"/>
      <c r="C17" s="9" t="s">
        <v>337</v>
      </c>
      <c r="D17" s="419"/>
      <c r="E17" s="419"/>
      <c r="F17" s="419"/>
      <c r="G17" s="419"/>
      <c r="H17" s="419"/>
      <c r="I17" s="365"/>
      <c r="J17" s="419"/>
      <c r="K17" s="857"/>
      <c r="L17" s="857"/>
      <c r="M17" s="419"/>
      <c r="N17" s="857"/>
      <c r="O17" s="857"/>
      <c r="P17" s="419"/>
      <c r="Q17" s="857"/>
      <c r="R17" s="857"/>
      <c r="S17" s="419">
        <v>-32</v>
      </c>
      <c r="T17" s="857"/>
      <c r="U17" s="857"/>
      <c r="V17" s="419">
        <v>-32</v>
      </c>
      <c r="W17" s="857"/>
      <c r="X17" s="857"/>
      <c r="Y17" s="419"/>
      <c r="Z17" s="857"/>
      <c r="AA17" s="419">
        <v>-24</v>
      </c>
      <c r="AB17" s="857"/>
      <c r="AC17" s="419"/>
      <c r="AD17" s="857"/>
      <c r="AE17" s="1382"/>
      <c r="AG17" s="139" t="s">
        <v>545</v>
      </c>
    </row>
    <row r="18" spans="2:33" s="4" customFormat="1" ht="12.75">
      <c r="B18" s="484"/>
      <c r="C18" s="14" t="s">
        <v>335</v>
      </c>
      <c r="D18" s="413">
        <v>6297</v>
      </c>
      <c r="E18" s="413">
        <v>6580</v>
      </c>
      <c r="F18" s="413">
        <v>6346</v>
      </c>
      <c r="G18" s="413">
        <v>6562</v>
      </c>
      <c r="H18" s="413">
        <v>25785</v>
      </c>
      <c r="I18" s="365"/>
      <c r="J18" s="413">
        <v>6009</v>
      </c>
      <c r="K18" s="855">
        <v>-0.04573606479275849</v>
      </c>
      <c r="L18" s="855">
        <v>-0.026</v>
      </c>
      <c r="M18" s="413">
        <v>6173</v>
      </c>
      <c r="N18" s="855">
        <v>-0.06185410334346508</v>
      </c>
      <c r="O18" s="855">
        <v>-0.046</v>
      </c>
      <c r="P18" s="413">
        <v>5926</v>
      </c>
      <c r="Q18" s="855">
        <v>-0.06618342262842736</v>
      </c>
      <c r="R18" s="855">
        <v>-0.045</v>
      </c>
      <c r="S18" s="413">
        <v>6144</v>
      </c>
      <c r="T18" s="855">
        <v>-0.0637000914355379</v>
      </c>
      <c r="U18" s="855">
        <v>-0.053750192515016226</v>
      </c>
      <c r="V18" s="413">
        <v>24252</v>
      </c>
      <c r="W18" s="855">
        <v>-0.059453170447934856</v>
      </c>
      <c r="X18" s="855">
        <v>-0.043049362743163844</v>
      </c>
      <c r="Y18" s="413">
        <v>5619</v>
      </c>
      <c r="Z18" s="855">
        <v>-0.06490264603095353</v>
      </c>
      <c r="AA18" s="413">
        <v>5825</v>
      </c>
      <c r="AB18" s="855">
        <v>-0.056374534262109144</v>
      </c>
      <c r="AC18" s="413">
        <f>+AC14</f>
        <v>5734</v>
      </c>
      <c r="AD18" s="855">
        <f>+AC18/P18-1</f>
        <v>-0.0323995950050624</v>
      </c>
      <c r="AE18" s="874"/>
      <c r="AG18" s="139" t="s">
        <v>109</v>
      </c>
    </row>
    <row r="19" spans="2:34" s="4" customFormat="1" ht="12.75">
      <c r="B19" s="484"/>
      <c r="C19" s="870"/>
      <c r="D19" s="405"/>
      <c r="E19" s="405"/>
      <c r="F19" s="405"/>
      <c r="G19" s="405"/>
      <c r="H19" s="405"/>
      <c r="I19" s="365"/>
      <c r="J19" s="405"/>
      <c r="K19" s="855"/>
      <c r="L19" s="855"/>
      <c r="M19" s="405"/>
      <c r="N19" s="855"/>
      <c r="O19" s="855"/>
      <c r="P19" s="405"/>
      <c r="Q19" s="855"/>
      <c r="R19" s="855"/>
      <c r="S19" s="405"/>
      <c r="T19" s="855"/>
      <c r="U19" s="855"/>
      <c r="V19" s="405"/>
      <c r="W19" s="855"/>
      <c r="X19" s="855"/>
      <c r="Y19" s="405"/>
      <c r="Z19" s="855"/>
      <c r="AA19" s="405"/>
      <c r="AB19" s="855"/>
      <c r="AC19" s="405"/>
      <c r="AD19" s="855"/>
      <c r="AE19" s="874"/>
      <c r="AG19" s="139" t="s">
        <v>157</v>
      </c>
      <c r="AH19" s="3"/>
    </row>
    <row r="20" spans="2:33" ht="12.75">
      <c r="B20" s="15"/>
      <c r="C20" s="7" t="s">
        <v>45</v>
      </c>
      <c r="D20" s="413">
        <v>3148</v>
      </c>
      <c r="E20" s="413">
        <v>3062</v>
      </c>
      <c r="F20" s="413">
        <v>3010</v>
      </c>
      <c r="G20" s="413">
        <v>2673</v>
      </c>
      <c r="H20" s="413">
        <v>11893</v>
      </c>
      <c r="I20" s="420"/>
      <c r="J20" s="413">
        <v>2853</v>
      </c>
      <c r="K20" s="855">
        <v>-0.09371029224904703</v>
      </c>
      <c r="L20" s="855"/>
      <c r="M20" s="413">
        <v>2766</v>
      </c>
      <c r="N20" s="855">
        <v>-0.09666884389288044</v>
      </c>
      <c r="O20" s="855"/>
      <c r="P20" s="413">
        <v>2821</v>
      </c>
      <c r="Q20" s="855">
        <v>-0.06279069767441858</v>
      </c>
      <c r="R20" s="855"/>
      <c r="S20" s="413">
        <v>1734</v>
      </c>
      <c r="T20" s="855">
        <v>-0.3512906846240179</v>
      </c>
      <c r="U20" s="855"/>
      <c r="V20" s="413">
        <v>10174</v>
      </c>
      <c r="W20" s="855">
        <v>-0.1445388043386866</v>
      </c>
      <c r="X20" s="855"/>
      <c r="Y20" s="413">
        <v>2667</v>
      </c>
      <c r="Z20" s="855">
        <v>-0.06519453207150372</v>
      </c>
      <c r="AA20" s="413">
        <v>2264</v>
      </c>
      <c r="AB20" s="855">
        <v>-0.18148951554591464</v>
      </c>
      <c r="AC20" s="413">
        <v>2682</v>
      </c>
      <c r="AD20" s="855">
        <f>+AC20/P20-1</f>
        <v>-0.049273307337823424</v>
      </c>
      <c r="AE20" s="874"/>
      <c r="AG20" s="1469" t="s">
        <v>382</v>
      </c>
    </row>
    <row r="21" spans="2:33" ht="12.75">
      <c r="B21" s="15"/>
      <c r="C21" s="65" t="s">
        <v>137</v>
      </c>
      <c r="D21" s="417">
        <v>0.4999205971097348</v>
      </c>
      <c r="E21" s="417">
        <v>0.4653495440729483</v>
      </c>
      <c r="F21" s="417">
        <v>0.4743145288370627</v>
      </c>
      <c r="G21" s="417">
        <v>0.40734532154830844</v>
      </c>
      <c r="H21" s="417">
        <v>0.46123715338375026</v>
      </c>
      <c r="I21" s="365"/>
      <c r="J21" s="417">
        <v>0.4747878182725911</v>
      </c>
      <c r="K21" s="856">
        <v>-2.513277883714371</v>
      </c>
      <c r="L21" s="856"/>
      <c r="M21" s="417">
        <v>0.44808034991090234</v>
      </c>
      <c r="N21" s="856">
        <v>-1.7269194162045975</v>
      </c>
      <c r="O21" s="856"/>
      <c r="P21" s="417">
        <v>0.4760377995275059</v>
      </c>
      <c r="Q21" s="856">
        <v>0.17232706904432016</v>
      </c>
      <c r="R21" s="856"/>
      <c r="S21" s="417">
        <v>0.2837041884816754</v>
      </c>
      <c r="T21" s="856">
        <v>-12.364113306663304</v>
      </c>
      <c r="U21" s="856"/>
      <c r="V21" s="417">
        <v>0.42006606110652356</v>
      </c>
      <c r="W21" s="856">
        <v>-4.11710922772267</v>
      </c>
      <c r="X21" s="856"/>
      <c r="Y21" s="417">
        <v>0.47463961558996265</v>
      </c>
      <c r="Z21" s="856">
        <v>-0.014820268262843994</v>
      </c>
      <c r="AA21" s="417">
        <v>0.390277538355456</v>
      </c>
      <c r="AB21" s="856">
        <v>-5.780281155544636</v>
      </c>
      <c r="AC21" s="417">
        <f>+AC20/AC14</f>
        <v>0.4677363097314266</v>
      </c>
      <c r="AD21" s="856">
        <f>+(AC21-P21)*100</f>
        <v>-0.8301489796079309</v>
      </c>
      <c r="AE21" s="1383"/>
      <c r="AG21" s="162" t="s">
        <v>312</v>
      </c>
    </row>
    <row r="22" spans="2:31" ht="12.75">
      <c r="B22" s="15"/>
      <c r="C22" s="9" t="s">
        <v>337</v>
      </c>
      <c r="D22" s="419">
        <v>-30</v>
      </c>
      <c r="E22" s="419">
        <v>-49</v>
      </c>
      <c r="F22" s="419">
        <v>-16</v>
      </c>
      <c r="G22" s="419">
        <v>-100</v>
      </c>
      <c r="H22" s="419">
        <v>-195</v>
      </c>
      <c r="I22" s="365"/>
      <c r="J22" s="419"/>
      <c r="K22" s="857"/>
      <c r="L22" s="857"/>
      <c r="M22" s="419">
        <v>-53</v>
      </c>
      <c r="N22" s="857"/>
      <c r="O22" s="857"/>
      <c r="P22" s="419">
        <v>0</v>
      </c>
      <c r="Q22" s="857"/>
      <c r="R22" s="857"/>
      <c r="S22" s="419">
        <v>-548</v>
      </c>
      <c r="T22" s="857"/>
      <c r="U22" s="857"/>
      <c r="V22" s="419">
        <v>-601</v>
      </c>
      <c r="W22" s="857"/>
      <c r="X22" s="857"/>
      <c r="Y22" s="419">
        <v>-12</v>
      </c>
      <c r="Z22" s="857"/>
      <c r="AA22" s="419">
        <v>-313</v>
      </c>
      <c r="AB22" s="857"/>
      <c r="AC22" s="419">
        <f>+AC20-AC23</f>
        <v>-10</v>
      </c>
      <c r="AD22" s="857"/>
      <c r="AE22" s="1382"/>
    </row>
    <row r="23" spans="2:31" ht="12.75">
      <c r="B23" s="15"/>
      <c r="C23" s="14" t="s">
        <v>316</v>
      </c>
      <c r="D23" s="413">
        <v>3178</v>
      </c>
      <c r="E23" s="413">
        <v>3111</v>
      </c>
      <c r="F23" s="413">
        <v>3026</v>
      </c>
      <c r="G23" s="413">
        <v>2773</v>
      </c>
      <c r="H23" s="413">
        <v>12088</v>
      </c>
      <c r="I23" s="420"/>
      <c r="J23" s="413">
        <v>2853</v>
      </c>
      <c r="K23" s="855">
        <v>-0.10226557583385776</v>
      </c>
      <c r="L23" s="855"/>
      <c r="M23" s="413">
        <v>2819</v>
      </c>
      <c r="N23" s="855">
        <v>-0.09386049501767924</v>
      </c>
      <c r="O23" s="855"/>
      <c r="P23" s="413">
        <v>2821</v>
      </c>
      <c r="Q23" s="855">
        <v>-0.06774619960343686</v>
      </c>
      <c r="R23" s="855"/>
      <c r="S23" s="413">
        <v>2282</v>
      </c>
      <c r="T23" s="855">
        <v>-0.17706455102776775</v>
      </c>
      <c r="U23" s="855"/>
      <c r="V23" s="413">
        <v>10775</v>
      </c>
      <c r="W23" s="855">
        <v>-0.10862011912640634</v>
      </c>
      <c r="X23" s="855"/>
      <c r="Y23" s="413">
        <v>2679</v>
      </c>
      <c r="Z23" s="855">
        <v>-0.060988433228180816</v>
      </c>
      <c r="AA23" s="413">
        <v>2577</v>
      </c>
      <c r="AB23" s="855">
        <v>-0.08584604469670098</v>
      </c>
      <c r="AC23" s="413">
        <v>2692</v>
      </c>
      <c r="AD23" s="855">
        <f>+AC23/P23-1</f>
        <v>-0.04572846508330375</v>
      </c>
      <c r="AE23" s="874"/>
    </row>
    <row r="24" spans="2:31" ht="12.75">
      <c r="B24" s="15"/>
      <c r="C24" s="65" t="s">
        <v>314</v>
      </c>
      <c r="D24" s="417">
        <v>0.5046847705256471</v>
      </c>
      <c r="E24" s="417">
        <v>0.4727963525835866</v>
      </c>
      <c r="F24" s="417">
        <v>0.47683580208005044</v>
      </c>
      <c r="G24" s="417">
        <v>0.42258457787259984</v>
      </c>
      <c r="H24" s="417">
        <v>0.4687996897420981</v>
      </c>
      <c r="I24" s="365"/>
      <c r="J24" s="417">
        <v>0.4747878182725911</v>
      </c>
      <c r="K24" s="856">
        <v>-2.9896952253055997</v>
      </c>
      <c r="L24" s="856"/>
      <c r="M24" s="417">
        <v>0.4566661266807063</v>
      </c>
      <c r="N24" s="856">
        <v>-1.6130225902880324</v>
      </c>
      <c r="O24" s="856"/>
      <c r="P24" s="417">
        <v>0.4760377995275059</v>
      </c>
      <c r="Q24" s="856">
        <v>-0.079800255254453</v>
      </c>
      <c r="R24" s="856"/>
      <c r="S24" s="417">
        <v>0.3714192708333333</v>
      </c>
      <c r="T24" s="856">
        <v>-5.116530703926653</v>
      </c>
      <c r="U24" s="856"/>
      <c r="V24" s="417">
        <v>0.44429325416460497</v>
      </c>
      <c r="W24" s="856">
        <v>-2.4506435577493155</v>
      </c>
      <c r="X24" s="856"/>
      <c r="Y24" s="417">
        <v>0.4767752269087026</v>
      </c>
      <c r="Z24" s="856">
        <v>0.19874086361115206</v>
      </c>
      <c r="AA24" s="417">
        <v>0.4424034334763948</v>
      </c>
      <c r="AB24" s="856">
        <v>-1.426269320431145</v>
      </c>
      <c r="AC24" s="417">
        <f>+AC23/AC18</f>
        <v>0.4694802929891873</v>
      </c>
      <c r="AD24" s="856">
        <f>+(AC24-P24)*100</f>
        <v>-0.6557506538318603</v>
      </c>
      <c r="AE24" s="1383"/>
    </row>
    <row r="25" spans="2:31" ht="12.75">
      <c r="B25" s="15"/>
      <c r="C25" s="9" t="s">
        <v>68</v>
      </c>
      <c r="D25" s="419">
        <v>1155</v>
      </c>
      <c r="E25" s="419">
        <v>1145</v>
      </c>
      <c r="F25" s="419">
        <v>1154</v>
      </c>
      <c r="G25" s="419">
        <v>850</v>
      </c>
      <c r="H25" s="419">
        <v>4304</v>
      </c>
      <c r="I25" s="365"/>
      <c r="J25" s="419">
        <v>1075</v>
      </c>
      <c r="K25" s="855">
        <v>-0.06926406926406925</v>
      </c>
      <c r="L25" s="855"/>
      <c r="M25" s="419">
        <v>1100</v>
      </c>
      <c r="N25" s="855">
        <v>-0.0393013100436681</v>
      </c>
      <c r="O25" s="855"/>
      <c r="P25" s="419">
        <v>1096</v>
      </c>
      <c r="Q25" s="855">
        <v>-0.05025996533795496</v>
      </c>
      <c r="R25" s="855"/>
      <c r="S25" s="419">
        <v>1126</v>
      </c>
      <c r="T25" s="855">
        <v>0.3247058823529412</v>
      </c>
      <c r="U25" s="855"/>
      <c r="V25" s="419">
        <v>4397</v>
      </c>
      <c r="W25" s="855">
        <v>0.021607806691449793</v>
      </c>
      <c r="X25" s="855"/>
      <c r="Y25" s="419">
        <v>1127</v>
      </c>
      <c r="Z25" s="855">
        <v>0.04837209302325585</v>
      </c>
      <c r="AA25" s="419">
        <f>+AA20-AA26</f>
        <v>1151</v>
      </c>
      <c r="AB25" s="855">
        <v>0.046363636363636385</v>
      </c>
      <c r="AC25" s="419"/>
      <c r="AD25" s="855">
        <f>+AC25/P25-1</f>
        <v>-1</v>
      </c>
      <c r="AE25" s="874"/>
    </row>
    <row r="26" spans="2:31" ht="12.75">
      <c r="B26" s="134"/>
      <c r="C26" s="14" t="s">
        <v>47</v>
      </c>
      <c r="D26" s="413">
        <v>2081</v>
      </c>
      <c r="E26" s="413">
        <v>1956</v>
      </c>
      <c r="F26" s="413">
        <v>1846</v>
      </c>
      <c r="G26" s="413">
        <v>1793</v>
      </c>
      <c r="H26" s="413">
        <v>7676</v>
      </c>
      <c r="I26" s="420"/>
      <c r="J26" s="413">
        <v>1790</v>
      </c>
      <c r="K26" s="855">
        <v>-0.13983661701105243</v>
      </c>
      <c r="L26" s="855"/>
      <c r="M26" s="413">
        <v>1666</v>
      </c>
      <c r="N26" s="855">
        <v>-0.1482617586912065</v>
      </c>
      <c r="O26" s="855"/>
      <c r="P26" s="413">
        <v>1728</v>
      </c>
      <c r="Q26" s="855">
        <v>-0.064</v>
      </c>
      <c r="R26" s="855"/>
      <c r="S26" s="413">
        <v>567</v>
      </c>
      <c r="T26" s="855">
        <v>-0.6837702175125489</v>
      </c>
      <c r="U26" s="855"/>
      <c r="V26" s="413">
        <v>5751</v>
      </c>
      <c r="W26" s="855">
        <v>-0.25078165711307976</v>
      </c>
      <c r="X26" s="855"/>
      <c r="Y26" s="413">
        <v>1566</v>
      </c>
      <c r="Z26" s="855">
        <v>-0.12513966480446925</v>
      </c>
      <c r="AA26" s="413">
        <v>1113</v>
      </c>
      <c r="AB26" s="855">
        <v>-0.33193277310924374</v>
      </c>
      <c r="AC26" s="413">
        <v>1548</v>
      </c>
      <c r="AD26" s="855">
        <f>+AC26/P26-1</f>
        <v>-0.10416666666666663</v>
      </c>
      <c r="AE26" s="874"/>
    </row>
    <row r="27" spans="2:31" ht="12.75">
      <c r="B27" s="134"/>
      <c r="C27" s="65" t="s">
        <v>138</v>
      </c>
      <c r="D27" s="417">
        <v>0.3304748292837859</v>
      </c>
      <c r="E27" s="417">
        <v>0.29726443768996963</v>
      </c>
      <c r="F27" s="417">
        <v>0.2908919004097069</v>
      </c>
      <c r="G27" s="417">
        <v>0.27323986589454435</v>
      </c>
      <c r="H27" s="417">
        <v>0.29769245685476053</v>
      </c>
      <c r="I27" s="132"/>
      <c r="J27" s="417">
        <v>0.29788650357796637</v>
      </c>
      <c r="K27" s="856">
        <v>-3.258832570581954</v>
      </c>
      <c r="L27" s="856"/>
      <c r="M27" s="417">
        <v>0.2698849829904422</v>
      </c>
      <c r="N27" s="856">
        <v>-2.7379454699527406</v>
      </c>
      <c r="O27" s="856"/>
      <c r="P27" s="417">
        <v>0.2915963550455619</v>
      </c>
      <c r="Q27" s="856">
        <v>0.07044546358550008</v>
      </c>
      <c r="R27" s="856"/>
      <c r="S27" s="417">
        <v>0.09276832460732984</v>
      </c>
      <c r="T27" s="856">
        <v>-18.047154128721452</v>
      </c>
      <c r="U27" s="856"/>
      <c r="V27" s="417">
        <v>0.23744838976052848</v>
      </c>
      <c r="W27" s="871" t="s">
        <v>334</v>
      </c>
      <c r="X27" s="856"/>
      <c r="Y27" s="417">
        <v>0.27869727709556863</v>
      </c>
      <c r="Z27" s="856">
        <v>-1.9189226482397737</v>
      </c>
      <c r="AA27" s="417">
        <v>0.19186347181520427</v>
      </c>
      <c r="AB27" s="856">
        <v>-7.802151117523795</v>
      </c>
      <c r="AC27" s="417">
        <f>+AC26/AC14</f>
        <v>0.2699686083013603</v>
      </c>
      <c r="AD27" s="856">
        <f>+(AC27-P27)*100</f>
        <v>-2.1627746744201595</v>
      </c>
      <c r="AE27" s="1383"/>
    </row>
    <row r="28" spans="2:31" ht="12.75">
      <c r="B28" s="134"/>
      <c r="C28" s="9" t="s">
        <v>337</v>
      </c>
      <c r="D28" s="419">
        <v>55</v>
      </c>
      <c r="E28" s="419">
        <v>-11</v>
      </c>
      <c r="F28" s="419">
        <v>-24</v>
      </c>
      <c r="G28" s="419">
        <v>-105</v>
      </c>
      <c r="H28" s="419">
        <v>-85</v>
      </c>
      <c r="I28" s="132"/>
      <c r="J28" s="419">
        <v>10</v>
      </c>
      <c r="K28" s="421"/>
      <c r="L28" s="421"/>
      <c r="M28" s="419">
        <v>-53</v>
      </c>
      <c r="N28" s="421"/>
      <c r="O28" s="421"/>
      <c r="P28" s="419">
        <v>1</v>
      </c>
      <c r="Q28" s="421"/>
      <c r="R28" s="421"/>
      <c r="S28" s="419">
        <v>-545</v>
      </c>
      <c r="T28" s="421"/>
      <c r="U28" s="421"/>
      <c r="V28" s="419">
        <v>-587</v>
      </c>
      <c r="W28" s="421"/>
      <c r="X28" s="421"/>
      <c r="Y28" s="419">
        <v>13</v>
      </c>
      <c r="Z28" s="421"/>
      <c r="AA28" s="419">
        <v>-313</v>
      </c>
      <c r="AB28" s="421"/>
      <c r="AC28" s="419"/>
      <c r="AD28" s="421"/>
      <c r="AE28" s="1384"/>
    </row>
    <row r="29" spans="2:31" ht="12.75">
      <c r="B29" s="134"/>
      <c r="C29" s="14" t="s">
        <v>317</v>
      </c>
      <c r="D29" s="413">
        <v>2026</v>
      </c>
      <c r="E29" s="413">
        <v>1967</v>
      </c>
      <c r="F29" s="413">
        <v>1870</v>
      </c>
      <c r="G29" s="413">
        <v>1898</v>
      </c>
      <c r="H29" s="413">
        <v>7761</v>
      </c>
      <c r="I29" s="420"/>
      <c r="J29" s="413">
        <v>1780</v>
      </c>
      <c r="K29" s="855">
        <v>-0.12142152023691999</v>
      </c>
      <c r="L29" s="855"/>
      <c r="M29" s="413">
        <v>1719</v>
      </c>
      <c r="N29" s="855">
        <v>-0.1260803253685816</v>
      </c>
      <c r="O29" s="855"/>
      <c r="P29" s="413">
        <v>1727</v>
      </c>
      <c r="Q29" s="855">
        <v>-0.07647058823529407</v>
      </c>
      <c r="R29" s="855"/>
      <c r="S29" s="413">
        <v>1112</v>
      </c>
      <c r="T29" s="855">
        <v>-0.4141201264488936</v>
      </c>
      <c r="U29" s="855"/>
      <c r="V29" s="413">
        <v>6338</v>
      </c>
      <c r="W29" s="855">
        <v>-0.18335266073959544</v>
      </c>
      <c r="X29" s="855"/>
      <c r="Y29" s="413">
        <v>1553</v>
      </c>
      <c r="Z29" s="855">
        <v>-0.12752808988764042</v>
      </c>
      <c r="AA29" s="413">
        <v>1426</v>
      </c>
      <c r="AB29" s="855">
        <v>-0.17044793484584064</v>
      </c>
      <c r="AC29" s="413">
        <v>1558</v>
      </c>
      <c r="AD29" s="855">
        <f>+AC29/P29-1</f>
        <v>-0.09785755645628258</v>
      </c>
      <c r="AE29" s="874"/>
    </row>
    <row r="30" spans="2:31" ht="12.75">
      <c r="B30" s="134"/>
      <c r="C30" s="65" t="s">
        <v>315</v>
      </c>
      <c r="D30" s="417">
        <v>0.3217405113546133</v>
      </c>
      <c r="E30" s="417">
        <v>0.298936170212766</v>
      </c>
      <c r="F30" s="417">
        <v>0.2946738102741885</v>
      </c>
      <c r="G30" s="417">
        <v>0.2892410850350503</v>
      </c>
      <c r="H30" s="417">
        <v>0.3009889470622455</v>
      </c>
      <c r="I30" s="365"/>
      <c r="J30" s="417">
        <v>0.2962223331669163</v>
      </c>
      <c r="K30" s="856">
        <v>-2.551817818769697</v>
      </c>
      <c r="L30" s="856"/>
      <c r="M30" s="417">
        <v>0.2784707597602462</v>
      </c>
      <c r="N30" s="856">
        <v>-2.046541045251976</v>
      </c>
      <c r="O30" s="856"/>
      <c r="P30" s="417">
        <v>0.29142760715491056</v>
      </c>
      <c r="Q30" s="856">
        <v>-0.3246203119277924</v>
      </c>
      <c r="R30" s="856"/>
      <c r="S30" s="417">
        <v>0.18098958333333334</v>
      </c>
      <c r="T30" s="856">
        <v>-10.825150170171696</v>
      </c>
      <c r="U30" s="856"/>
      <c r="V30" s="417">
        <v>0.2613392709879598</v>
      </c>
      <c r="W30" s="856">
        <v>-3.964967607428571</v>
      </c>
      <c r="X30" s="856"/>
      <c r="Y30" s="417">
        <v>0.27638369816693364</v>
      </c>
      <c r="Z30" s="856">
        <v>-1.9838634999982674</v>
      </c>
      <c r="AA30" s="417">
        <v>0.2448068669527897</v>
      </c>
      <c r="AB30" s="856">
        <v>-3.366389280745652</v>
      </c>
      <c r="AC30" s="417">
        <f>+AC29/AC18</f>
        <v>0.27171259155912103</v>
      </c>
      <c r="AD30" s="856">
        <f>+(AC30-P30)*100</f>
        <v>-1.9715015595789531</v>
      </c>
      <c r="AE30" s="1383"/>
    </row>
    <row r="31" spans="2:31" ht="12.75">
      <c r="B31" s="134"/>
      <c r="C31" s="66" t="s">
        <v>13</v>
      </c>
      <c r="D31" s="413">
        <v>850</v>
      </c>
      <c r="E31" s="413">
        <v>943</v>
      </c>
      <c r="F31" s="413">
        <v>822</v>
      </c>
      <c r="G31" s="413">
        <v>1279</v>
      </c>
      <c r="H31" s="413">
        <v>3894</v>
      </c>
      <c r="I31" s="365"/>
      <c r="J31" s="413">
        <v>867</v>
      </c>
      <c r="K31" s="855">
        <v>0.02</v>
      </c>
      <c r="L31" s="855"/>
      <c r="M31" s="413">
        <v>1028</v>
      </c>
      <c r="N31" s="855">
        <v>0.09013785790031803</v>
      </c>
      <c r="O31" s="855"/>
      <c r="P31" s="413">
        <v>922</v>
      </c>
      <c r="Q31" s="855">
        <v>0.12165450121654509</v>
      </c>
      <c r="R31" s="855"/>
      <c r="S31" s="413">
        <v>1247</v>
      </c>
      <c r="T31" s="855">
        <v>-0.02501954652071936</v>
      </c>
      <c r="U31" s="855"/>
      <c r="V31" s="413">
        <v>4064</v>
      </c>
      <c r="W31" s="855">
        <v>0.043656908063687716</v>
      </c>
      <c r="X31" s="855"/>
      <c r="Y31" s="413">
        <v>970</v>
      </c>
      <c r="Z31" s="855">
        <v>0.11880046136101496</v>
      </c>
      <c r="AA31" s="413">
        <v>982</v>
      </c>
      <c r="AB31" s="855">
        <v>-0.04474708171206221</v>
      </c>
      <c r="AC31" s="413">
        <v>694</v>
      </c>
      <c r="AD31" s="855">
        <f>+AC31/P31-1</f>
        <v>-0.24728850325379614</v>
      </c>
      <c r="AE31" s="874"/>
    </row>
    <row r="32" spans="2:31" ht="12.75">
      <c r="B32" s="134"/>
      <c r="C32" s="65" t="s">
        <v>1</v>
      </c>
      <c r="D32" s="417">
        <v>0.13498491345084962</v>
      </c>
      <c r="E32" s="417">
        <v>0.1433130699088146</v>
      </c>
      <c r="F32" s="417">
        <v>0.12953041285849354</v>
      </c>
      <c r="G32" s="417">
        <v>0.19491008838768667</v>
      </c>
      <c r="H32" s="417">
        <v>0.15101803374054684</v>
      </c>
      <c r="I32" s="365"/>
      <c r="J32" s="417">
        <v>0.14428357463804292</v>
      </c>
      <c r="K32" s="856">
        <v>0.9298661187193302</v>
      </c>
      <c r="L32" s="856"/>
      <c r="M32" s="417">
        <v>0.1665316701765754</v>
      </c>
      <c r="N32" s="856">
        <v>2.321860026776082</v>
      </c>
      <c r="O32" s="856"/>
      <c r="P32" s="417">
        <v>0.15558555518056025</v>
      </c>
      <c r="Q32" s="856">
        <v>2.605514232206671</v>
      </c>
      <c r="R32" s="856"/>
      <c r="S32" s="417">
        <v>0.20402486910994763</v>
      </c>
      <c r="T32" s="856">
        <v>0.9114780722260962</v>
      </c>
      <c r="U32" s="856"/>
      <c r="V32" s="417">
        <v>0.16779521056977703</v>
      </c>
      <c r="W32" s="856">
        <v>1.677717682923019</v>
      </c>
      <c r="X32" s="856"/>
      <c r="Y32" s="417">
        <v>0.17262858159814914</v>
      </c>
      <c r="Z32" s="856">
        <v>2.8345006960106223</v>
      </c>
      <c r="AA32" s="417">
        <v>0.1692811584209619</v>
      </c>
      <c r="AB32" s="856">
        <v>0.27494882443864777</v>
      </c>
      <c r="AC32" s="417">
        <f>+AC31/AC14</f>
        <v>0.12103243808859435</v>
      </c>
      <c r="AD32" s="856">
        <f>+(AC32-P32)*100</f>
        <v>-3.4553117091965904</v>
      </c>
      <c r="AE32" s="1383"/>
    </row>
    <row r="33" spans="2:31" ht="12.75">
      <c r="B33" s="134"/>
      <c r="C33" s="7" t="s">
        <v>135</v>
      </c>
      <c r="D33" s="413">
        <v>68882</v>
      </c>
      <c r="E33" s="413">
        <v>68277</v>
      </c>
      <c r="F33" s="413">
        <v>67846</v>
      </c>
      <c r="G33" s="413">
        <v>66835</v>
      </c>
      <c r="H33" s="413">
        <v>66835</v>
      </c>
      <c r="I33" s="420"/>
      <c r="J33" s="413">
        <v>66479</v>
      </c>
      <c r="K33" s="872"/>
      <c r="L33" s="872"/>
      <c r="M33" s="413">
        <v>65880</v>
      </c>
      <c r="N33" s="872"/>
      <c r="O33" s="872"/>
      <c r="P33" s="413">
        <v>65528</v>
      </c>
      <c r="Q33" s="872"/>
      <c r="R33" s="872"/>
      <c r="S33" s="413">
        <v>64362</v>
      </c>
      <c r="T33" s="872"/>
      <c r="U33" s="873"/>
      <c r="V33" s="413">
        <v>64362</v>
      </c>
      <c r="W33" s="872"/>
      <c r="X33" s="872"/>
      <c r="Y33" s="413">
        <v>64160</v>
      </c>
      <c r="Z33" s="872"/>
      <c r="AA33" s="413">
        <v>64234</v>
      </c>
      <c r="AB33" s="872"/>
      <c r="AC33" s="413">
        <v>63988</v>
      </c>
      <c r="AD33" s="872"/>
      <c r="AE33" s="1385"/>
    </row>
    <row r="34" spans="2:31" ht="5.25" customHeight="1">
      <c r="B34" s="134"/>
      <c r="C34" s="7"/>
      <c r="D34" s="148"/>
      <c r="E34" s="148"/>
      <c r="F34" s="148"/>
      <c r="G34" s="148"/>
      <c r="H34" s="148"/>
      <c r="I34" s="148"/>
      <c r="J34" s="148"/>
      <c r="K34" s="133"/>
      <c r="L34" s="133"/>
      <c r="M34" s="133"/>
      <c r="N34" s="133"/>
      <c r="O34" s="133"/>
      <c r="P34" s="133"/>
      <c r="Q34" s="133"/>
      <c r="R34" s="133"/>
      <c r="S34" s="133"/>
      <c r="T34" s="133"/>
      <c r="U34" s="133"/>
      <c r="V34" s="148"/>
      <c r="W34" s="133"/>
      <c r="X34" s="133"/>
      <c r="Y34" s="148"/>
      <c r="Z34" s="133"/>
      <c r="AA34" s="148"/>
      <c r="AB34" s="133"/>
      <c r="AC34" s="148"/>
      <c r="AD34" s="133"/>
      <c r="AE34" s="1386"/>
    </row>
    <row r="35" spans="2:31" ht="12.75">
      <c r="B35" s="134"/>
      <c r="C35" s="530"/>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247"/>
    </row>
    <row r="36" spans="2:31" ht="12.75">
      <c r="B36" s="134"/>
      <c r="C36" s="68" t="s">
        <v>126</v>
      </c>
      <c r="D36" s="67"/>
      <c r="E36" s="67"/>
      <c r="F36" s="67"/>
      <c r="G36" s="67"/>
      <c r="H36" s="67"/>
      <c r="I36" s="67"/>
      <c r="J36" s="67"/>
      <c r="K36" s="67"/>
      <c r="L36" s="67"/>
      <c r="M36" s="67"/>
      <c r="N36" s="67"/>
      <c r="O36" s="67"/>
      <c r="P36" s="67"/>
      <c r="Q36" s="67"/>
      <c r="R36" s="67"/>
      <c r="S36" s="67"/>
      <c r="T36" s="67"/>
      <c r="U36" s="67"/>
      <c r="V36" s="67"/>
      <c r="W36" s="67"/>
      <c r="X36" s="67"/>
      <c r="Y36" s="67"/>
      <c r="Z36" s="67"/>
      <c r="AA36" s="67"/>
      <c r="AB36" s="148"/>
      <c r="AC36" s="67"/>
      <c r="AD36" s="148"/>
      <c r="AE36" s="33"/>
    </row>
    <row r="37" spans="2:31" ht="12.75" customHeight="1">
      <c r="B37" s="134"/>
      <c r="C37" s="1496" t="s">
        <v>347</v>
      </c>
      <c r="D37" s="1191"/>
      <c r="E37" s="1191"/>
      <c r="F37" s="1191"/>
      <c r="G37" s="1191"/>
      <c r="H37" s="1191"/>
      <c r="I37" s="1191"/>
      <c r="J37" s="1191"/>
      <c r="K37" s="1191"/>
      <c r="L37" s="1191"/>
      <c r="M37" s="1191"/>
      <c r="N37" s="1191"/>
      <c r="O37" s="1191"/>
      <c r="P37" s="1191"/>
      <c r="Q37" s="1191"/>
      <c r="R37" s="67"/>
      <c r="S37" s="67"/>
      <c r="T37" s="67"/>
      <c r="U37" s="67"/>
      <c r="V37" s="67"/>
      <c r="W37" s="67"/>
      <c r="X37" s="67"/>
      <c r="Y37" s="67"/>
      <c r="Z37" s="67"/>
      <c r="AA37" s="67"/>
      <c r="AB37" s="79"/>
      <c r="AC37" s="67"/>
      <c r="AD37" s="79"/>
      <c r="AE37" s="33"/>
    </row>
    <row r="38" spans="2:31" ht="18.75" customHeight="1">
      <c r="B38" s="134"/>
      <c r="C38" s="1496"/>
      <c r="D38" s="1191"/>
      <c r="E38" s="1191"/>
      <c r="F38" s="1191"/>
      <c r="G38" s="1191"/>
      <c r="H38" s="1191"/>
      <c r="I38" s="1191"/>
      <c r="J38" s="1191"/>
      <c r="K38" s="1191"/>
      <c r="L38" s="1191"/>
      <c r="M38" s="1191"/>
      <c r="N38" s="1191"/>
      <c r="O38" s="1191"/>
      <c r="P38" s="1191"/>
      <c r="Q38" s="1191"/>
      <c r="R38" s="67"/>
      <c r="S38" s="67"/>
      <c r="T38" s="67"/>
      <c r="U38" s="67"/>
      <c r="V38" s="67"/>
      <c r="W38" s="67"/>
      <c r="X38" s="67"/>
      <c r="Y38" s="67"/>
      <c r="Z38" s="67"/>
      <c r="AA38" s="67"/>
      <c r="AB38" s="79"/>
      <c r="AC38" s="67"/>
      <c r="AD38" s="79"/>
      <c r="AE38" s="33"/>
    </row>
    <row r="39" spans="2:31" ht="12.75">
      <c r="B39" s="135"/>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136"/>
    </row>
    <row r="45" ht="12.75">
      <c r="C45" s="1404"/>
    </row>
  </sheetData>
  <sheetProtection password="DAD6" sheet="1" formatCells="0" formatColumns="0" formatRows="0" insertColumns="0" insertRows="0" insertHyperlinks="0" deleteColumns="0" deleteRows="0" sort="0" autoFilter="0" pivotTables="0"/>
  <mergeCells count="6">
    <mergeCell ref="U12:U13"/>
    <mergeCell ref="X12:X13"/>
    <mergeCell ref="C37:C38"/>
    <mergeCell ref="L12:L13"/>
    <mergeCell ref="O12:O13"/>
    <mergeCell ref="R12:R13"/>
  </mergeCells>
  <hyperlinks>
    <hyperlink ref="AG11" location="'Domestic Wireline Results'!A1" display="Domestic Wireline Results"/>
    <hyperlink ref="AG12" location="'Domestic Mobile Results'!A1" display="Domestic Mobile Results"/>
    <hyperlink ref="AG13" location="'TIM Brasil Results'!A1" display="TIM Brasil Results"/>
    <hyperlink ref="AG14" location="'European BroadBand'!A1" display="European BroadBand"/>
    <hyperlink ref="AG18" location="'Main Group''s Subsidiries'!A1" display="Main Group's Subsidiaries"/>
    <hyperlink ref="AG7" location="'Key fin data by BU YTD'!A1" display="Key Financial data by BU YTD"/>
    <hyperlink ref="AG19" location="'Analyst Tools'!A1" display="Analyst Tools"/>
    <hyperlink ref="AG20" location="'Historic Data'!A1" display="Historic Data"/>
    <hyperlink ref="AG6" location="'P&amp;L Group by quarter'!A1" display="P&amp;L Group by quarter"/>
    <hyperlink ref="AG8" location="'Key fin. data by BU by quarter'!A1" display="Key Financial data by quarter"/>
    <hyperlink ref="AG5" location="'P&amp;L Group YTD'!A1" display="P&amp;L Group YTD"/>
    <hyperlink ref="AG9" location="'Balance Sheet'!A1" display="Balance Sheet"/>
    <hyperlink ref="AG10" location="'Cashflow Statement'!A1" display="Cashflow Statement"/>
    <hyperlink ref="AG15" location="'1Q Rep&amp;org.'!A1" display="Repoerted &amp; Organic figures"/>
    <hyperlink ref="AG16" location="'2Q Rep&amp;org.'!A1" display="Reported &amp; Organic figures 2Q08 vs 2Q07"/>
    <hyperlink ref="AG17" location="'3Q Rep&amp;org.'!A1" display="Reported &amp; Organic figures 3Q08 vs 3Q07"/>
    <hyperlink ref="AG21" location="Cover!A1" display="Cover"/>
  </hyperlinks>
  <printOptions horizontalCentered="1" verticalCentered="1"/>
  <pageMargins left="0" right="0" top="0" bottom="0" header="0.5118110236220472" footer="0.31496062992125984"/>
  <pageSetup horizontalDpi="600" verticalDpi="600" orientation="landscape" paperSize="9" scale="53" r:id="rId3"/>
  <drawing r:id="rId1"/>
  <legacyDrawingHF r:id="rId2"/>
</worksheet>
</file>

<file path=xl/worksheets/sheet9.xml><?xml version="1.0" encoding="utf-8"?>
<worksheet xmlns="http://schemas.openxmlformats.org/spreadsheetml/2006/main" xmlns:r="http://schemas.openxmlformats.org/officeDocument/2006/relationships">
  <sheetPr codeName="Foglio18"/>
  <dimension ref="A1:AI65528"/>
  <sheetViews>
    <sheetView showGridLines="0" zoomScaleSheetLayoutView="100" workbookViewId="0" topLeftCell="A1">
      <pane xSplit="4" ySplit="3" topLeftCell="K4" activePane="bottomRight" state="frozen"/>
      <selection pane="topLeft" activeCell="E16" sqref="E16"/>
      <selection pane="topRight" activeCell="E16" sqref="E16"/>
      <selection pane="bottomLeft" activeCell="E16" sqref="E16"/>
      <selection pane="bottomRight" activeCell="C2" sqref="C2"/>
    </sheetView>
  </sheetViews>
  <sheetFormatPr defaultColWidth="9.140625" defaultRowHeight="12.75"/>
  <cols>
    <col min="1" max="1" width="0.9921875" style="3" customWidth="1"/>
    <col min="2" max="2" width="2.7109375" style="3" customWidth="1"/>
    <col min="3" max="3" width="13.28125" style="3" customWidth="1"/>
    <col min="4" max="4" width="33.7109375" style="3" customWidth="1"/>
    <col min="5" max="5" width="41.57421875" style="3" hidden="1" customWidth="1"/>
    <col min="6" max="6" width="10.00390625" style="71" hidden="1" customWidth="1"/>
    <col min="7" max="10" width="8.28125" style="71" hidden="1" customWidth="1"/>
    <col min="11" max="11" width="0.9921875" style="71" customWidth="1"/>
    <col min="12" max="12" width="8.28125" style="71" customWidth="1"/>
    <col min="13" max="13" width="7.57421875" style="71" customWidth="1"/>
    <col min="14" max="14" width="7.8515625" style="3" customWidth="1"/>
    <col min="15" max="15" width="8.28125" style="71" customWidth="1"/>
    <col min="16" max="19" width="7.57421875" style="71" customWidth="1"/>
    <col min="20" max="20" width="8.8515625" style="71" customWidth="1"/>
    <col min="21" max="22" width="7.57421875" style="71" customWidth="1"/>
    <col min="23" max="23" width="8.8515625" style="71" customWidth="1"/>
    <col min="24" max="25" width="7.57421875" style="71" customWidth="1"/>
    <col min="26" max="26" width="8.8515625" style="71" customWidth="1"/>
    <col min="27" max="32" width="7.57421875" style="71" customWidth="1"/>
    <col min="33" max="33" width="2.7109375" style="71" customWidth="1"/>
    <col min="34" max="34" width="1.421875" style="3" customWidth="1"/>
    <col min="35" max="35" width="30.28125" style="3" customWidth="1"/>
    <col min="36" max="16384" width="9.140625" style="3" customWidth="1"/>
  </cols>
  <sheetData>
    <row r="1" spans="4:15" ht="12.75">
      <c r="D1" s="968"/>
      <c r="E1" s="968"/>
      <c r="F1" s="968"/>
      <c r="G1" s="968"/>
      <c r="H1" s="70"/>
      <c r="I1" s="70"/>
      <c r="J1" s="70"/>
      <c r="K1" s="70"/>
      <c r="L1" s="70"/>
      <c r="O1" s="70"/>
    </row>
    <row r="2" spans="2:35" ht="24.75" customHeight="1">
      <c r="B2" s="960"/>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8"/>
      <c r="AI2" s="1347"/>
    </row>
    <row r="3" spans="2:35" ht="12.75">
      <c r="B3" s="15"/>
      <c r="C3" s="61"/>
      <c r="D3" s="61"/>
      <c r="E3" s="61"/>
      <c r="F3" s="18" t="s">
        <v>2</v>
      </c>
      <c r="G3" s="18" t="s">
        <v>3</v>
      </c>
      <c r="H3" s="18" t="s">
        <v>4</v>
      </c>
      <c r="I3" s="18" t="s">
        <v>5</v>
      </c>
      <c r="J3" s="18" t="s">
        <v>88</v>
      </c>
      <c r="K3" s="24"/>
      <c r="L3" s="17" t="s">
        <v>6</v>
      </c>
      <c r="M3" s="22" t="s">
        <v>134</v>
      </c>
      <c r="N3" s="61"/>
      <c r="O3" s="17" t="s">
        <v>142</v>
      </c>
      <c r="P3" s="22" t="s">
        <v>134</v>
      </c>
      <c r="Q3" s="22"/>
      <c r="R3" s="17" t="s">
        <v>143</v>
      </c>
      <c r="S3" s="22" t="s">
        <v>134</v>
      </c>
      <c r="T3" s="22"/>
      <c r="U3" s="17" t="s">
        <v>228</v>
      </c>
      <c r="V3" s="22" t="s">
        <v>134</v>
      </c>
      <c r="W3" s="22"/>
      <c r="X3" s="17" t="s">
        <v>226</v>
      </c>
      <c r="Y3" s="22" t="s">
        <v>134</v>
      </c>
      <c r="Z3" s="22"/>
      <c r="AA3" s="18" t="s">
        <v>339</v>
      </c>
      <c r="AB3" s="1393" t="s">
        <v>365</v>
      </c>
      <c r="AC3" s="18" t="s">
        <v>435</v>
      </c>
      <c r="AD3" s="1393" t="s">
        <v>365</v>
      </c>
      <c r="AE3" s="18" t="s">
        <v>537</v>
      </c>
      <c r="AF3" s="1393" t="s">
        <v>365</v>
      </c>
      <c r="AG3" s="74"/>
      <c r="AI3" s="30" t="s">
        <v>59</v>
      </c>
    </row>
    <row r="4" spans="2:35" ht="12.75">
      <c r="B4" s="15"/>
      <c r="C4" s="1478" t="s">
        <v>14</v>
      </c>
      <c r="D4" s="1478"/>
      <c r="E4" s="1411"/>
      <c r="F4" s="316"/>
      <c r="G4" s="316"/>
      <c r="H4" s="316"/>
      <c r="I4" s="316"/>
      <c r="J4" s="316"/>
      <c r="K4" s="54"/>
      <c r="L4" s="316"/>
      <c r="M4" s="404"/>
      <c r="N4" s="79"/>
      <c r="O4" s="316"/>
      <c r="P4" s="404"/>
      <c r="Q4" s="404"/>
      <c r="R4" s="316"/>
      <c r="S4" s="404"/>
      <c r="T4" s="404"/>
      <c r="U4" s="316"/>
      <c r="V4" s="404"/>
      <c r="W4" s="404"/>
      <c r="X4" s="316"/>
      <c r="Y4" s="404"/>
      <c r="Z4" s="404"/>
      <c r="AA4" s="316"/>
      <c r="AB4" s="404"/>
      <c r="AC4" s="316"/>
      <c r="AD4" s="404"/>
      <c r="AE4" s="316"/>
      <c r="AF4" s="404"/>
      <c r="AG4" s="423"/>
      <c r="AI4" s="31" t="s">
        <v>56</v>
      </c>
    </row>
    <row r="5" spans="2:35" ht="12.75">
      <c r="B5" s="15"/>
      <c r="C5" s="37" t="s">
        <v>170</v>
      </c>
      <c r="D5" s="37"/>
      <c r="E5" s="37"/>
      <c r="F5" s="171">
        <v>24867</v>
      </c>
      <c r="G5" s="171">
        <v>24477</v>
      </c>
      <c r="H5" s="171">
        <v>24228</v>
      </c>
      <c r="I5" s="171">
        <v>23698</v>
      </c>
      <c r="J5" s="424">
        <v>23698</v>
      </c>
      <c r="K5" s="171"/>
      <c r="L5" s="171">
        <v>23205</v>
      </c>
      <c r="M5" s="415">
        <v>-0.0668355652069007</v>
      </c>
      <c r="N5" s="79"/>
      <c r="O5" s="171">
        <v>22836</v>
      </c>
      <c r="P5" s="415">
        <v>-0.0670425297217796</v>
      </c>
      <c r="Q5" s="415"/>
      <c r="R5" s="171">
        <v>22538</v>
      </c>
      <c r="S5" s="415">
        <v>-0.06975400363216111</v>
      </c>
      <c r="T5" s="415"/>
      <c r="U5" s="171">
        <v>22124</v>
      </c>
      <c r="V5" s="415">
        <v>-0.06641910709764542</v>
      </c>
      <c r="W5" s="415"/>
      <c r="X5" s="171">
        <v>22124</v>
      </c>
      <c r="Y5" s="415">
        <v>-0.06641910709764542</v>
      </c>
      <c r="Z5" s="415"/>
      <c r="AA5" s="171">
        <v>21648</v>
      </c>
      <c r="AB5" s="415">
        <v>-0.06709760827407885</v>
      </c>
      <c r="AC5" s="171">
        <v>20951.832</v>
      </c>
      <c r="AD5" s="415">
        <v>-0.08250867052023125</v>
      </c>
      <c r="AE5" s="424">
        <v>20539</v>
      </c>
      <c r="AF5" s="855">
        <f aca="true" t="shared" si="0" ref="AF5:AF10">+AE5/R5-1</f>
        <v>-0.0886946490371816</v>
      </c>
      <c r="AG5" s="425"/>
      <c r="AI5" s="139" t="s">
        <v>206</v>
      </c>
    </row>
    <row r="6" spans="2:35" ht="12.75">
      <c r="B6" s="15"/>
      <c r="C6" s="37" t="s">
        <v>171</v>
      </c>
      <c r="D6" s="37"/>
      <c r="E6" s="37"/>
      <c r="F6" s="424">
        <v>21502</v>
      </c>
      <c r="G6" s="424">
        <v>21217</v>
      </c>
      <c r="H6" s="424">
        <v>20992</v>
      </c>
      <c r="I6" s="424">
        <v>20540</v>
      </c>
      <c r="J6" s="424">
        <v>20540</v>
      </c>
      <c r="K6" s="171"/>
      <c r="L6" s="171">
        <v>20118</v>
      </c>
      <c r="M6" s="415">
        <v>-0.06436610547856014</v>
      </c>
      <c r="N6" s="79"/>
      <c r="O6" s="171">
        <v>19811</v>
      </c>
      <c r="P6" s="415">
        <v>-0.07864384708399219</v>
      </c>
      <c r="Q6" s="415"/>
      <c r="R6" s="171">
        <v>19577</v>
      </c>
      <c r="S6" s="415">
        <v>-0.06740663109756095</v>
      </c>
      <c r="T6" s="415"/>
      <c r="U6" s="171">
        <v>19221</v>
      </c>
      <c r="V6" s="415">
        <v>-0.06421616358325222</v>
      </c>
      <c r="W6" s="415"/>
      <c r="X6" s="171">
        <v>19221</v>
      </c>
      <c r="Y6" s="415">
        <v>-0.06421616358325222</v>
      </c>
      <c r="Z6" s="415"/>
      <c r="AA6" s="171">
        <v>18797</v>
      </c>
      <c r="AB6" s="415">
        <v>-0.06566259071478275</v>
      </c>
      <c r="AC6" s="171">
        <v>18146</v>
      </c>
      <c r="AD6" s="415">
        <v>-0.08404421785876537</v>
      </c>
      <c r="AE6" s="424">
        <v>17776</v>
      </c>
      <c r="AF6" s="855">
        <f t="shared" si="0"/>
        <v>-0.09199570925065126</v>
      </c>
      <c r="AG6" s="425"/>
      <c r="AI6" s="139" t="s">
        <v>208</v>
      </c>
    </row>
    <row r="7" spans="2:35" ht="12.75">
      <c r="B7" s="15"/>
      <c r="C7" s="37" t="s">
        <v>498</v>
      </c>
      <c r="D7" s="37"/>
      <c r="E7" s="37"/>
      <c r="F7" s="424">
        <v>1480.106</v>
      </c>
      <c r="G7" s="424">
        <v>1728.13</v>
      </c>
      <c r="H7" s="424">
        <v>1869.4030000000002</v>
      </c>
      <c r="I7" s="424">
        <v>2244.312</v>
      </c>
      <c r="J7" s="424">
        <v>2244.312</v>
      </c>
      <c r="K7" s="171"/>
      <c r="L7" s="171">
        <v>2827.865</v>
      </c>
      <c r="M7" s="415">
        <v>0.910582755559399</v>
      </c>
      <c r="N7" s="79"/>
      <c r="O7" s="171">
        <v>3181.0440000000003</v>
      </c>
      <c r="P7" s="415">
        <v>1.1492001248559225</v>
      </c>
      <c r="Q7" s="415"/>
      <c r="R7" s="171">
        <v>3312</v>
      </c>
      <c r="S7" s="415">
        <v>0.7716886086092722</v>
      </c>
      <c r="T7" s="415"/>
      <c r="U7" s="171">
        <v>3658.999</v>
      </c>
      <c r="V7" s="415">
        <v>0.630343285603784</v>
      </c>
      <c r="W7" s="415"/>
      <c r="X7" s="171">
        <v>3658.999</v>
      </c>
      <c r="Y7" s="415">
        <v>0.630343285603784</v>
      </c>
      <c r="Z7" s="415"/>
      <c r="AA7" s="171">
        <v>4030</v>
      </c>
      <c r="AB7" s="415">
        <v>0.42510339072056147</v>
      </c>
      <c r="AC7" s="171">
        <v>4596</v>
      </c>
      <c r="AD7" s="415">
        <v>0.44480868545043695</v>
      </c>
      <c r="AE7" s="424">
        <f>+AE8+AE9+AE10+AE11+AE12</f>
        <v>4801</v>
      </c>
      <c r="AF7" s="855">
        <f t="shared" si="0"/>
        <v>0.4495772946859904</v>
      </c>
      <c r="AG7" s="425"/>
      <c r="AI7" s="139" t="s">
        <v>207</v>
      </c>
    </row>
    <row r="8" spans="2:35" s="4" customFormat="1" ht="12.75">
      <c r="B8" s="484"/>
      <c r="C8" s="1477" t="s">
        <v>101</v>
      </c>
      <c r="D8" s="1477"/>
      <c r="E8" s="760"/>
      <c r="F8" s="424">
        <v>1230.653</v>
      </c>
      <c r="G8" s="424">
        <v>1380.084</v>
      </c>
      <c r="H8" s="424">
        <v>1486.141</v>
      </c>
      <c r="I8" s="424">
        <v>1710.906</v>
      </c>
      <c r="J8" s="424">
        <v>1710.906</v>
      </c>
      <c r="K8" s="424"/>
      <c r="L8" s="424">
        <v>1966.504</v>
      </c>
      <c r="M8" s="415">
        <v>0.597935405024812</v>
      </c>
      <c r="N8" s="148"/>
      <c r="O8" s="424">
        <v>2321.626</v>
      </c>
      <c r="P8" s="415">
        <v>0.8864992812758756</v>
      </c>
      <c r="Q8" s="855"/>
      <c r="R8" s="424">
        <v>2521.293</v>
      </c>
      <c r="S8" s="415">
        <v>0.6965368696509955</v>
      </c>
      <c r="T8" s="855"/>
      <c r="U8" s="424">
        <v>2929.841</v>
      </c>
      <c r="V8" s="415">
        <v>0.7124500118650585</v>
      </c>
      <c r="W8" s="855"/>
      <c r="X8" s="424">
        <v>2929.841</v>
      </c>
      <c r="Y8" s="415">
        <v>0.7124500118650585</v>
      </c>
      <c r="Z8" s="855"/>
      <c r="AA8" s="424">
        <v>3218</v>
      </c>
      <c r="AB8" s="415">
        <v>0.6364065366762539</v>
      </c>
      <c r="AC8" s="424">
        <v>3411</v>
      </c>
      <c r="AD8" s="415">
        <v>0.46922889388730127</v>
      </c>
      <c r="AE8" s="424">
        <v>3500</v>
      </c>
      <c r="AF8" s="855">
        <f t="shared" si="0"/>
        <v>0.38817662207446735</v>
      </c>
      <c r="AG8" s="874"/>
      <c r="AI8" s="139" t="s">
        <v>223</v>
      </c>
    </row>
    <row r="9" spans="2:35" s="4" customFormat="1" ht="12.75">
      <c r="B9" s="484"/>
      <c r="C9" s="1477" t="s">
        <v>102</v>
      </c>
      <c r="D9" s="1477"/>
      <c r="E9" s="760"/>
      <c r="F9" s="424">
        <v>68</v>
      </c>
      <c r="G9" s="424">
        <v>125</v>
      </c>
      <c r="H9" s="424">
        <v>129.853</v>
      </c>
      <c r="I9" s="424">
        <v>254</v>
      </c>
      <c r="J9" s="424">
        <v>254</v>
      </c>
      <c r="K9" s="424"/>
      <c r="L9" s="424">
        <v>356.9</v>
      </c>
      <c r="M9" s="415">
        <v>4.248529411764705</v>
      </c>
      <c r="N9" s="148"/>
      <c r="O9" s="424">
        <v>327.4</v>
      </c>
      <c r="P9" s="415">
        <v>3.814705882352941</v>
      </c>
      <c r="Q9" s="855"/>
      <c r="R9" s="424">
        <v>250.4</v>
      </c>
      <c r="S9" s="415">
        <v>0.9283343473004089</v>
      </c>
      <c r="T9" s="855"/>
      <c r="U9" s="424">
        <v>178</v>
      </c>
      <c r="V9" s="415">
        <v>-0.2992125984251969</v>
      </c>
      <c r="W9" s="855"/>
      <c r="X9" s="424">
        <v>178</v>
      </c>
      <c r="Y9" s="415">
        <v>-0.2992125984251969</v>
      </c>
      <c r="Z9" s="855"/>
      <c r="AA9" s="424">
        <v>154</v>
      </c>
      <c r="AB9" s="415">
        <v>-0.5685065844774446</v>
      </c>
      <c r="AC9" s="424">
        <v>185</v>
      </c>
      <c r="AD9" s="415">
        <v>-0.4349419670128283</v>
      </c>
      <c r="AE9" s="424">
        <v>206</v>
      </c>
      <c r="AF9" s="855">
        <f t="shared" si="0"/>
        <v>-0.1773162939297125</v>
      </c>
      <c r="AG9" s="874"/>
      <c r="AI9" s="139" t="s">
        <v>310</v>
      </c>
    </row>
    <row r="10" spans="2:35" s="4" customFormat="1" ht="12.75">
      <c r="B10" s="484"/>
      <c r="C10" s="1477" t="s">
        <v>107</v>
      </c>
      <c r="D10" s="1477"/>
      <c r="E10" s="760"/>
      <c r="F10" s="424">
        <v>181.453</v>
      </c>
      <c r="G10" s="424">
        <v>223.046</v>
      </c>
      <c r="H10" s="424">
        <v>253.409</v>
      </c>
      <c r="I10" s="424">
        <v>279.406</v>
      </c>
      <c r="J10" s="424">
        <v>279.406</v>
      </c>
      <c r="K10" s="424"/>
      <c r="L10" s="424">
        <v>288.461</v>
      </c>
      <c r="M10" s="415">
        <v>0.5897284696312544</v>
      </c>
      <c r="N10" s="148"/>
      <c r="O10" s="424">
        <v>279.018</v>
      </c>
      <c r="P10" s="415">
        <v>0.5376874452337519</v>
      </c>
      <c r="Q10" s="855"/>
      <c r="R10" s="424">
        <v>260.133</v>
      </c>
      <c r="S10" s="415">
        <v>0.026534179922575785</v>
      </c>
      <c r="T10" s="855"/>
      <c r="U10" s="424">
        <v>244.158</v>
      </c>
      <c r="V10" s="415">
        <v>-0.12615333958469044</v>
      </c>
      <c r="W10" s="855"/>
      <c r="X10" s="424">
        <v>244.158</v>
      </c>
      <c r="Y10" s="415">
        <v>-0.12615333958469044</v>
      </c>
      <c r="Z10" s="855"/>
      <c r="AA10" s="424">
        <v>232</v>
      </c>
      <c r="AB10" s="415">
        <v>-0.19573183203275313</v>
      </c>
      <c r="AC10" s="424">
        <v>220</v>
      </c>
      <c r="AD10" s="415">
        <v>-0.21152040370155323</v>
      </c>
      <c r="AE10" s="424">
        <v>210</v>
      </c>
      <c r="AF10" s="855">
        <f t="shared" si="0"/>
        <v>-0.19272064674608747</v>
      </c>
      <c r="AG10" s="874"/>
      <c r="AI10" s="139" t="s">
        <v>311</v>
      </c>
    </row>
    <row r="11" spans="2:35" s="4" customFormat="1" ht="12.75">
      <c r="B11" s="484"/>
      <c r="C11" s="1477" t="s">
        <v>344</v>
      </c>
      <c r="D11" s="1477"/>
      <c r="E11" s="760"/>
      <c r="F11" s="424"/>
      <c r="G11" s="424"/>
      <c r="H11" s="424"/>
      <c r="I11" s="424"/>
      <c r="J11" s="424"/>
      <c r="K11" s="424"/>
      <c r="L11" s="424"/>
      <c r="M11" s="855"/>
      <c r="N11" s="148"/>
      <c r="O11" s="424"/>
      <c r="P11" s="855"/>
      <c r="Q11" s="855"/>
      <c r="R11" s="424"/>
      <c r="S11" s="855"/>
      <c r="T11" s="855"/>
      <c r="U11" s="424"/>
      <c r="V11" s="855"/>
      <c r="W11" s="855"/>
      <c r="X11" s="424"/>
      <c r="Y11" s="855"/>
      <c r="Z11" s="855"/>
      <c r="AA11" s="424">
        <v>77</v>
      </c>
      <c r="AB11" s="418" t="s">
        <v>360</v>
      </c>
      <c r="AC11" s="424">
        <v>348</v>
      </c>
      <c r="AD11" s="418" t="s">
        <v>360</v>
      </c>
      <c r="AE11" s="424">
        <v>414</v>
      </c>
      <c r="AF11" s="856" t="s">
        <v>360</v>
      </c>
      <c r="AG11" s="874"/>
      <c r="AI11" s="139" t="s">
        <v>12</v>
      </c>
    </row>
    <row r="12" spans="1:35" ht="12.75">
      <c r="A12" s="4"/>
      <c r="B12" s="484"/>
      <c r="C12" s="760" t="s">
        <v>497</v>
      </c>
      <c r="D12" s="760"/>
      <c r="E12" s="760"/>
      <c r="F12" s="424"/>
      <c r="G12" s="424"/>
      <c r="H12" s="424"/>
      <c r="I12" s="424"/>
      <c r="J12" s="424"/>
      <c r="K12" s="424"/>
      <c r="L12" s="424">
        <v>216</v>
      </c>
      <c r="M12" s="855"/>
      <c r="N12" s="148"/>
      <c r="O12" s="424">
        <v>253</v>
      </c>
      <c r="P12" s="855"/>
      <c r="Q12" s="855"/>
      <c r="R12" s="424">
        <v>281</v>
      </c>
      <c r="S12" s="855"/>
      <c r="T12" s="855"/>
      <c r="U12" s="424">
        <v>307</v>
      </c>
      <c r="V12" s="855"/>
      <c r="W12" s="855"/>
      <c r="X12" s="424">
        <v>307</v>
      </c>
      <c r="Y12" s="855"/>
      <c r="Z12" s="855"/>
      <c r="AA12" s="424">
        <v>349</v>
      </c>
      <c r="AB12" s="415">
        <v>0.6157407407407407</v>
      </c>
      <c r="AC12" s="424">
        <v>432</v>
      </c>
      <c r="AD12" s="415">
        <v>0.7075098814229248</v>
      </c>
      <c r="AE12" s="424">
        <v>471</v>
      </c>
      <c r="AF12" s="855">
        <f>+AE12/R12-1</f>
        <v>0.6761565836298933</v>
      </c>
      <c r="AG12" s="874"/>
      <c r="AI12" s="139" t="s">
        <v>221</v>
      </c>
    </row>
    <row r="13" spans="2:35" ht="12.75">
      <c r="B13" s="15"/>
      <c r="C13" s="1497" t="s">
        <v>353</v>
      </c>
      <c r="D13" s="1497"/>
      <c r="E13" s="25"/>
      <c r="F13" s="171">
        <v>1024</v>
      </c>
      <c r="G13" s="171">
        <v>1071</v>
      </c>
      <c r="H13" s="171">
        <v>1075</v>
      </c>
      <c r="I13" s="171">
        <v>1131</v>
      </c>
      <c r="J13" s="424">
        <v>1131</v>
      </c>
      <c r="K13" s="171"/>
      <c r="L13" s="171">
        <v>1212</v>
      </c>
      <c r="M13" s="415">
        <v>0.18359375</v>
      </c>
      <c r="N13" s="79"/>
      <c r="O13" s="171">
        <v>1204</v>
      </c>
      <c r="P13" s="415">
        <v>0.12418300653594772</v>
      </c>
      <c r="Q13" s="415"/>
      <c r="R13" s="171">
        <v>1180</v>
      </c>
      <c r="S13" s="415">
        <v>0.0976744186046512</v>
      </c>
      <c r="T13" s="415"/>
      <c r="U13" s="171">
        <v>1163</v>
      </c>
      <c r="V13" s="415">
        <v>0.028293545534924913</v>
      </c>
      <c r="W13" s="415"/>
      <c r="X13" s="171">
        <v>1163</v>
      </c>
      <c r="Y13" s="415">
        <v>0.028293545534924913</v>
      </c>
      <c r="Z13" s="415"/>
      <c r="AA13" s="171">
        <v>1187</v>
      </c>
      <c r="AB13" s="415">
        <v>-0.020627062706270682</v>
      </c>
      <c r="AC13" s="171">
        <v>1228</v>
      </c>
      <c r="AD13" s="415">
        <v>0.019933554817275656</v>
      </c>
      <c r="AE13" s="424">
        <v>1304</v>
      </c>
      <c r="AF13" s="855">
        <f>+AE13/R13-1</f>
        <v>0.10508474576271176</v>
      </c>
      <c r="AG13" s="425"/>
      <c r="AI13" s="139" t="s">
        <v>222</v>
      </c>
    </row>
    <row r="14" spans="2:35" ht="12.75">
      <c r="B14" s="15"/>
      <c r="C14" s="1497" t="s">
        <v>354</v>
      </c>
      <c r="D14" s="1497"/>
      <c r="E14" s="25"/>
      <c r="F14" s="171">
        <v>4958</v>
      </c>
      <c r="G14" s="171">
        <v>5195</v>
      </c>
      <c r="H14" s="171">
        <v>5382</v>
      </c>
      <c r="I14" s="424">
        <v>5639</v>
      </c>
      <c r="J14" s="424">
        <v>5639</v>
      </c>
      <c r="K14" s="171"/>
      <c r="L14" s="171">
        <v>5883</v>
      </c>
      <c r="M14" s="415">
        <v>0.18656716417910446</v>
      </c>
      <c r="N14" s="79"/>
      <c r="O14" s="171">
        <v>6073</v>
      </c>
      <c r="P14" s="415">
        <v>0.12418300653594772</v>
      </c>
      <c r="Q14" s="415"/>
      <c r="R14" s="171">
        <v>6215</v>
      </c>
      <c r="S14" s="415">
        <v>0.0976744186046512</v>
      </c>
      <c r="T14" s="415"/>
      <c r="U14" s="171">
        <v>6427</v>
      </c>
      <c r="V14" s="415">
        <v>0.13974108884553993</v>
      </c>
      <c r="W14" s="415"/>
      <c r="X14" s="171">
        <v>6427</v>
      </c>
      <c r="Y14" s="415">
        <v>0.13974108884553993</v>
      </c>
      <c r="Z14" s="415"/>
      <c r="AA14" s="171">
        <v>6541</v>
      </c>
      <c r="AB14" s="415">
        <v>0.11184769675335704</v>
      </c>
      <c r="AC14" s="424">
        <v>6564</v>
      </c>
      <c r="AD14" s="415">
        <v>0.08084966244030967</v>
      </c>
      <c r="AE14" s="424">
        <v>6610</v>
      </c>
      <c r="AF14" s="855">
        <f>+AE14/R14-1</f>
        <v>0.06355591311343534</v>
      </c>
      <c r="AG14" s="426"/>
      <c r="AI14" s="139" t="s">
        <v>8</v>
      </c>
    </row>
    <row r="15" spans="2:35" ht="12.75">
      <c r="B15" s="15"/>
      <c r="C15" s="1497" t="s">
        <v>355</v>
      </c>
      <c r="D15" s="1497"/>
      <c r="E15" s="25"/>
      <c r="F15" s="171">
        <v>1095</v>
      </c>
      <c r="G15" s="171">
        <v>1141</v>
      </c>
      <c r="H15" s="171">
        <v>1192</v>
      </c>
      <c r="I15" s="424">
        <v>1095</v>
      </c>
      <c r="J15" s="424">
        <v>1095</v>
      </c>
      <c r="K15" s="171"/>
      <c r="L15" s="171">
        <v>1141</v>
      </c>
      <c r="M15" s="415">
        <v>0.0420091324200913</v>
      </c>
      <c r="N15" s="79"/>
      <c r="O15" s="171">
        <v>1192</v>
      </c>
      <c r="P15" s="415">
        <v>0.12418300653594772</v>
      </c>
      <c r="Q15" s="415"/>
      <c r="R15" s="171">
        <v>1220</v>
      </c>
      <c r="S15" s="415">
        <v>0.0976744186046512</v>
      </c>
      <c r="T15" s="415"/>
      <c r="U15" s="171">
        <v>1270</v>
      </c>
      <c r="V15" s="415">
        <v>0.15981735159817356</v>
      </c>
      <c r="W15" s="415"/>
      <c r="X15" s="171">
        <v>1270</v>
      </c>
      <c r="Y15" s="415">
        <v>0.15981735159817356</v>
      </c>
      <c r="Z15" s="415"/>
      <c r="AA15" s="171">
        <v>1338</v>
      </c>
      <c r="AB15" s="415">
        <v>0.17265556529360215</v>
      </c>
      <c r="AC15" s="424">
        <v>1370</v>
      </c>
      <c r="AD15" s="415">
        <v>0.14932885906040272</v>
      </c>
      <c r="AE15" s="424">
        <v>1389</v>
      </c>
      <c r="AF15" s="855">
        <f>+AE15/R15-1</f>
        <v>0.13852459016393448</v>
      </c>
      <c r="AG15" s="425"/>
      <c r="AI15" s="139" t="s">
        <v>534</v>
      </c>
    </row>
    <row r="16" spans="2:35" ht="12.75">
      <c r="B16" s="15"/>
      <c r="C16" s="1497" t="s">
        <v>356</v>
      </c>
      <c r="D16" s="1497"/>
      <c r="E16" s="25"/>
      <c r="F16" s="171">
        <v>3863</v>
      </c>
      <c r="G16" s="171">
        <v>4054</v>
      </c>
      <c r="H16" s="171">
        <v>4190</v>
      </c>
      <c r="I16" s="171">
        <v>4544</v>
      </c>
      <c r="J16" s="171">
        <v>4544</v>
      </c>
      <c r="K16" s="38"/>
      <c r="L16" s="171">
        <v>4742</v>
      </c>
      <c r="M16" s="415">
        <v>0.22754336008283715</v>
      </c>
      <c r="N16" s="38"/>
      <c r="O16" s="171">
        <v>4881</v>
      </c>
      <c r="P16" s="415">
        <v>0.12418300653594772</v>
      </c>
      <c r="Q16" s="171"/>
      <c r="R16" s="171">
        <v>4995</v>
      </c>
      <c r="S16" s="415">
        <v>0.0976744186046512</v>
      </c>
      <c r="T16" s="171"/>
      <c r="U16" s="171">
        <v>5157</v>
      </c>
      <c r="V16" s="415">
        <v>0.1349031690140845</v>
      </c>
      <c r="W16" s="171"/>
      <c r="X16" s="171">
        <v>5157</v>
      </c>
      <c r="Y16" s="415">
        <v>0.1349031690140845</v>
      </c>
      <c r="Z16" s="171"/>
      <c r="AA16" s="171">
        <v>5203</v>
      </c>
      <c r="AB16" s="415">
        <v>0.09721636440320536</v>
      </c>
      <c r="AC16" s="424">
        <v>5194</v>
      </c>
      <c r="AD16" s="415">
        <v>0.06412620364679378</v>
      </c>
      <c r="AE16" s="424">
        <v>5221</v>
      </c>
      <c r="AF16" s="855">
        <f>+AE16/R16-1</f>
        <v>0.0452452452452452</v>
      </c>
      <c r="AG16" s="425"/>
      <c r="AI16" s="139" t="s">
        <v>535</v>
      </c>
    </row>
    <row r="17" spans="2:35" ht="12.75">
      <c r="B17" s="15"/>
      <c r="C17" s="1497" t="s">
        <v>358</v>
      </c>
      <c r="D17" s="1497"/>
      <c r="E17" s="25"/>
      <c r="F17" s="38"/>
      <c r="G17" s="38"/>
      <c r="H17" s="38"/>
      <c r="I17" s="38"/>
      <c r="J17" s="1195">
        <v>0.6</v>
      </c>
      <c r="K17" s="38"/>
      <c r="L17" s="1195">
        <v>0.62</v>
      </c>
      <c r="M17" s="418" t="s">
        <v>360</v>
      </c>
      <c r="N17" s="38"/>
      <c r="O17" s="1195">
        <v>0.66</v>
      </c>
      <c r="P17" s="418" t="s">
        <v>360</v>
      </c>
      <c r="Q17" s="38"/>
      <c r="R17" s="1195">
        <v>0.67</v>
      </c>
      <c r="S17" s="418" t="s">
        <v>360</v>
      </c>
      <c r="T17" s="38"/>
      <c r="U17" s="1195">
        <v>0.71</v>
      </c>
      <c r="V17" s="418" t="s">
        <v>360</v>
      </c>
      <c r="W17" s="38"/>
      <c r="X17" s="1195">
        <v>0.71</v>
      </c>
      <c r="Y17" s="418">
        <v>11</v>
      </c>
      <c r="Z17" s="38"/>
      <c r="AA17" s="1195">
        <v>0.73</v>
      </c>
      <c r="AB17" s="418">
        <v>11</v>
      </c>
      <c r="AC17" s="1195">
        <v>0.75</v>
      </c>
      <c r="AD17" s="418">
        <v>9</v>
      </c>
      <c r="AE17" s="1461">
        <v>0.76</v>
      </c>
      <c r="AF17" s="856">
        <f>+(AE17-R17)*100</f>
        <v>8.999999999999996</v>
      </c>
      <c r="AG17" s="425"/>
      <c r="AI17" s="139" t="s">
        <v>545</v>
      </c>
    </row>
    <row r="18" spans="2:35" ht="12.75">
      <c r="B18" s="15"/>
      <c r="C18" s="1497" t="s">
        <v>97</v>
      </c>
      <c r="D18" s="1497"/>
      <c r="E18" s="25"/>
      <c r="F18" s="418" t="s">
        <v>360</v>
      </c>
      <c r="G18" s="418" t="s">
        <v>360</v>
      </c>
      <c r="H18" s="424">
        <v>177</v>
      </c>
      <c r="I18" s="171">
        <v>359</v>
      </c>
      <c r="J18" s="424">
        <v>359</v>
      </c>
      <c r="K18" s="171"/>
      <c r="L18" s="171">
        <v>549</v>
      </c>
      <c r="M18" s="418" t="s">
        <v>360</v>
      </c>
      <c r="N18" s="79"/>
      <c r="O18" s="171">
        <v>924</v>
      </c>
      <c r="P18" s="418" t="s">
        <v>360</v>
      </c>
      <c r="Q18" s="415"/>
      <c r="R18" s="171">
        <v>1099</v>
      </c>
      <c r="S18" s="415">
        <v>5.209039548022599</v>
      </c>
      <c r="T18" s="415"/>
      <c r="U18" s="171">
        <v>1316</v>
      </c>
      <c r="V18" s="415">
        <v>2.6657381615598887</v>
      </c>
      <c r="W18" s="415"/>
      <c r="X18" s="171">
        <v>1316</v>
      </c>
      <c r="Y18" s="415">
        <v>2.6657381615598887</v>
      </c>
      <c r="Z18" s="415"/>
      <c r="AA18" s="171">
        <v>1510</v>
      </c>
      <c r="AB18" s="415">
        <v>1.7504553734061932</v>
      </c>
      <c r="AC18" s="171">
        <v>1653</v>
      </c>
      <c r="AD18" s="415">
        <v>0.7889610389610389</v>
      </c>
      <c r="AE18" s="424">
        <v>1803</v>
      </c>
      <c r="AF18" s="855">
        <f>+AE18/R18-1</f>
        <v>0.6405823475887169</v>
      </c>
      <c r="AG18" s="425"/>
      <c r="AI18" s="139" t="s">
        <v>109</v>
      </c>
    </row>
    <row r="19" spans="2:35" ht="12.75">
      <c r="B19" s="15"/>
      <c r="C19" s="1497" t="s">
        <v>147</v>
      </c>
      <c r="D19" s="1497"/>
      <c r="E19" s="25"/>
      <c r="F19" s="418" t="s">
        <v>360</v>
      </c>
      <c r="G19" s="418" t="s">
        <v>360</v>
      </c>
      <c r="H19" s="138">
        <v>0.03288740245261984</v>
      </c>
      <c r="I19" s="138">
        <v>0.06366377017201631</v>
      </c>
      <c r="J19" s="138">
        <v>0.06366377017201631</v>
      </c>
      <c r="K19" s="81"/>
      <c r="L19" s="172">
        <v>0.09331973482916879</v>
      </c>
      <c r="M19" s="418" t="s">
        <v>360</v>
      </c>
      <c r="N19" s="79"/>
      <c r="O19" s="172">
        <v>0.1521488555903178</v>
      </c>
      <c r="P19" s="418" t="s">
        <v>360</v>
      </c>
      <c r="Q19" s="418"/>
      <c r="R19" s="172">
        <v>0.17683024939662106</v>
      </c>
      <c r="S19" s="418">
        <v>14.394284694400122</v>
      </c>
      <c r="T19" s="418"/>
      <c r="U19" s="172">
        <v>0.2047611638400498</v>
      </c>
      <c r="V19" s="418">
        <v>14.109739366803348</v>
      </c>
      <c r="W19" s="418"/>
      <c r="X19" s="172">
        <v>0.2047611638400498</v>
      </c>
      <c r="Y19" s="418">
        <v>14.109739366803348</v>
      </c>
      <c r="Z19" s="418"/>
      <c r="AA19" s="172">
        <v>0.23085155175049688</v>
      </c>
      <c r="AB19" s="418">
        <v>13.75318169213281</v>
      </c>
      <c r="AC19" s="172">
        <v>0.25182815356489946</v>
      </c>
      <c r="AD19" s="418">
        <v>9.967929797458167</v>
      </c>
      <c r="AE19" s="138">
        <v>0.273</v>
      </c>
      <c r="AF19" s="856">
        <f>+(AE19-R19)*100</f>
        <v>9.616975060337897</v>
      </c>
      <c r="AG19" s="425"/>
      <c r="AI19" s="139" t="s">
        <v>157</v>
      </c>
    </row>
    <row r="20" spans="2:35" ht="12.75">
      <c r="B20" s="15"/>
      <c r="C20" s="25" t="s">
        <v>359</v>
      </c>
      <c r="D20" s="25"/>
      <c r="E20" s="25"/>
      <c r="F20" s="418" t="s">
        <v>360</v>
      </c>
      <c r="G20" s="418" t="s">
        <v>360</v>
      </c>
      <c r="H20" s="418" t="s">
        <v>360</v>
      </c>
      <c r="I20" s="418" t="s">
        <v>360</v>
      </c>
      <c r="J20" s="418" t="s">
        <v>360</v>
      </c>
      <c r="K20" s="418"/>
      <c r="L20" s="418" t="s">
        <v>360</v>
      </c>
      <c r="M20" s="418"/>
      <c r="N20" s="79"/>
      <c r="O20" s="418" t="s">
        <v>360</v>
      </c>
      <c r="P20" s="418"/>
      <c r="Q20" s="418"/>
      <c r="R20" s="418" t="s">
        <v>360</v>
      </c>
      <c r="S20" s="418"/>
      <c r="T20" s="418"/>
      <c r="U20" s="418" t="s">
        <v>360</v>
      </c>
      <c r="V20" s="418" t="s">
        <v>360</v>
      </c>
      <c r="W20" s="418"/>
      <c r="X20" s="424">
        <v>80</v>
      </c>
      <c r="Y20" s="418" t="s">
        <v>360</v>
      </c>
      <c r="Z20" s="418"/>
      <c r="AA20" s="424">
        <v>136</v>
      </c>
      <c r="AB20" s="418" t="s">
        <v>360</v>
      </c>
      <c r="AC20" s="424">
        <v>180</v>
      </c>
      <c r="AD20" s="418" t="s">
        <v>360</v>
      </c>
      <c r="AE20" s="424">
        <v>218</v>
      </c>
      <c r="AF20" s="856" t="s">
        <v>360</v>
      </c>
      <c r="AG20" s="425"/>
      <c r="AI20" s="1469" t="s">
        <v>382</v>
      </c>
    </row>
    <row r="21" spans="2:35" ht="12.75">
      <c r="B21" s="15"/>
      <c r="C21" s="25" t="s">
        <v>357</v>
      </c>
      <c r="D21" s="25"/>
      <c r="E21" s="25"/>
      <c r="F21" s="418" t="s">
        <v>360</v>
      </c>
      <c r="G21" s="418" t="s">
        <v>360</v>
      </c>
      <c r="H21" s="418" t="s">
        <v>360</v>
      </c>
      <c r="I21" s="1194">
        <v>19.2</v>
      </c>
      <c r="J21" s="1194">
        <v>20.1</v>
      </c>
      <c r="K21" s="1430"/>
      <c r="L21" s="1194">
        <v>18.6</v>
      </c>
      <c r="M21" s="418" t="s">
        <v>360</v>
      </c>
      <c r="N21" s="1430"/>
      <c r="O21" s="1194">
        <v>17.9</v>
      </c>
      <c r="P21" s="418" t="s">
        <v>360</v>
      </c>
      <c r="Q21" s="1194"/>
      <c r="R21" s="1194">
        <v>17.4</v>
      </c>
      <c r="S21" s="418" t="s">
        <v>360</v>
      </c>
      <c r="T21" s="1194"/>
      <c r="U21" s="1194">
        <v>18</v>
      </c>
      <c r="V21" s="415">
        <v>-0.0625</v>
      </c>
      <c r="W21" s="1194"/>
      <c r="X21" s="1199">
        <v>18</v>
      </c>
      <c r="Y21" s="415">
        <v>-0.10447761194029859</v>
      </c>
      <c r="Z21" s="1194"/>
      <c r="AA21" s="1194">
        <v>17.9</v>
      </c>
      <c r="AB21" s="415">
        <v>-0.037634408602150726</v>
      </c>
      <c r="AC21" s="1194">
        <v>17.8</v>
      </c>
      <c r="AD21" s="415">
        <v>-0.005586592178770777</v>
      </c>
      <c r="AE21" s="1199">
        <v>18.1</v>
      </c>
      <c r="AF21" s="855">
        <f>+AE21/R21-1</f>
        <v>0.04022988505747138</v>
      </c>
      <c r="AG21" s="426"/>
      <c r="AI21" s="162" t="s">
        <v>312</v>
      </c>
    </row>
    <row r="22" spans="2:33" ht="12.75">
      <c r="B22" s="15"/>
      <c r="C22" s="152"/>
      <c r="D22" s="26"/>
      <c r="E22" s="26"/>
      <c r="F22" s="81"/>
      <c r="G22" s="81"/>
      <c r="H22" s="81"/>
      <c r="I22" s="81"/>
      <c r="J22" s="80"/>
      <c r="K22" s="81"/>
      <c r="L22" s="81"/>
      <c r="M22" s="416"/>
      <c r="N22" s="79"/>
      <c r="O22" s="81"/>
      <c r="P22" s="416"/>
      <c r="Q22" s="416"/>
      <c r="R22" s="81"/>
      <c r="S22" s="416"/>
      <c r="T22" s="416"/>
      <c r="U22" s="81"/>
      <c r="V22" s="416"/>
      <c r="W22" s="416"/>
      <c r="X22" s="81"/>
      <c r="Y22" s="416"/>
      <c r="Z22" s="416"/>
      <c r="AA22" s="81"/>
      <c r="AB22" s="416"/>
      <c r="AC22" s="81"/>
      <c r="AD22" s="416"/>
      <c r="AE22" s="81"/>
      <c r="AF22" s="416"/>
      <c r="AG22" s="426"/>
    </row>
    <row r="23" spans="2:33" ht="29.25">
      <c r="B23" s="15"/>
      <c r="C23" s="1476" t="s">
        <v>203</v>
      </c>
      <c r="D23" s="1476"/>
      <c r="E23" s="1410"/>
      <c r="F23" s="75"/>
      <c r="G23" s="75"/>
      <c r="H23" s="75"/>
      <c r="I23" s="76"/>
      <c r="J23" s="75"/>
      <c r="K23" s="77"/>
      <c r="L23" s="75"/>
      <c r="M23" s="78"/>
      <c r="N23" s="69" t="s">
        <v>146</v>
      </c>
      <c r="O23" s="75"/>
      <c r="P23" s="78"/>
      <c r="Q23" s="69" t="s">
        <v>146</v>
      </c>
      <c r="R23" s="75"/>
      <c r="S23" s="78"/>
      <c r="T23" s="69" t="s">
        <v>146</v>
      </c>
      <c r="U23" s="75"/>
      <c r="V23" s="78"/>
      <c r="W23" s="69" t="s">
        <v>146</v>
      </c>
      <c r="X23" s="75"/>
      <c r="Y23" s="78"/>
      <c r="Z23" s="69" t="s">
        <v>146</v>
      </c>
      <c r="AA23" s="75"/>
      <c r="AB23" s="78"/>
      <c r="AC23" s="75"/>
      <c r="AD23" s="78"/>
      <c r="AE23" s="75"/>
      <c r="AF23" s="78"/>
      <c r="AG23" s="426"/>
    </row>
    <row r="24" spans="2:33" ht="12.75">
      <c r="B24" s="15"/>
      <c r="C24" s="1474" t="s">
        <v>35</v>
      </c>
      <c r="D24" s="1474"/>
      <c r="E24" s="6"/>
      <c r="F24" s="428">
        <v>4286</v>
      </c>
      <c r="G24" s="428">
        <v>4313</v>
      </c>
      <c r="H24" s="428">
        <v>4108</v>
      </c>
      <c r="I24" s="428">
        <v>4281</v>
      </c>
      <c r="J24" s="428">
        <v>16988</v>
      </c>
      <c r="K24" s="420"/>
      <c r="L24" s="428">
        <v>3989</v>
      </c>
      <c r="M24" s="415">
        <v>-0.06929538030797944</v>
      </c>
      <c r="N24" s="415">
        <v>-0.043</v>
      </c>
      <c r="O24" s="428">
        <v>3994</v>
      </c>
      <c r="P24" s="415">
        <v>-0.07396243913749134</v>
      </c>
      <c r="Q24" s="670">
        <v>-0.05</v>
      </c>
      <c r="R24" s="428">
        <v>3765</v>
      </c>
      <c r="S24" s="415">
        <v>-0.08349561830574492</v>
      </c>
      <c r="T24" s="670">
        <v>-0.05044136191677173</v>
      </c>
      <c r="U24" s="428">
        <v>3979</v>
      </c>
      <c r="V24" s="415">
        <v>-0.07054426535856106</v>
      </c>
      <c r="W24" s="670">
        <v>-0.05531813865147195</v>
      </c>
      <c r="X24" s="428">
        <v>15727</v>
      </c>
      <c r="Y24" s="415">
        <v>-0.07422886743583701</v>
      </c>
      <c r="Z24" s="670">
        <v>-0.04949836818566422</v>
      </c>
      <c r="AA24" s="428">
        <v>3746</v>
      </c>
      <c r="AB24" s="415">
        <v>-0.06091752318876911</v>
      </c>
      <c r="AC24" s="428">
        <v>3739</v>
      </c>
      <c r="AD24" s="415">
        <v>-0.06384576865297947</v>
      </c>
      <c r="AE24" s="428">
        <v>3643</v>
      </c>
      <c r="AF24" s="415">
        <f>+AE24/R24-1</f>
        <v>-0.0324037184594953</v>
      </c>
      <c r="AG24" s="427"/>
    </row>
    <row r="25" spans="2:33" ht="12.75">
      <c r="B25" s="15"/>
      <c r="C25" s="1475" t="s">
        <v>15</v>
      </c>
      <c r="D25" s="1475"/>
      <c r="E25" s="6"/>
      <c r="F25" s="428">
        <v>2414</v>
      </c>
      <c r="G25" s="428">
        <v>2391</v>
      </c>
      <c r="H25" s="428">
        <v>2247</v>
      </c>
      <c r="I25" s="428">
        <v>2256</v>
      </c>
      <c r="J25" s="428">
        <v>9308</v>
      </c>
      <c r="K25" s="420"/>
      <c r="L25" s="428">
        <v>2161.0888361019884</v>
      </c>
      <c r="M25" s="415">
        <v>-0.10476850202900234</v>
      </c>
      <c r="N25" s="415">
        <v>-0.078</v>
      </c>
      <c r="O25" s="428">
        <v>2124.1647012526328</v>
      </c>
      <c r="P25" s="415">
        <v>-0.111</v>
      </c>
      <c r="Q25" s="415">
        <v>-0.084</v>
      </c>
      <c r="R25" s="428">
        <v>2008.4317975609363</v>
      </c>
      <c r="S25" s="415">
        <v>-0.10617187469473244</v>
      </c>
      <c r="T25" s="415">
        <v>-0.064</v>
      </c>
      <c r="U25" s="428">
        <v>2063.8458481494117</v>
      </c>
      <c r="V25" s="415">
        <v>-0.08517471269972887</v>
      </c>
      <c r="W25" s="415">
        <v>-0.07284553093018342</v>
      </c>
      <c r="X25" s="428">
        <v>8357.531183064968</v>
      </c>
      <c r="Y25" s="415">
        <v>-0.10211310882413327</v>
      </c>
      <c r="Z25" s="415">
        <v>-0.07520789812497575</v>
      </c>
      <c r="AA25" s="428">
        <v>1969.6761963313309</v>
      </c>
      <c r="AB25" s="415">
        <v>-0.08838500694123091</v>
      </c>
      <c r="AC25" s="428">
        <v>1925.610641398669</v>
      </c>
      <c r="AD25" s="415">
        <v>-0.09322033898305085</v>
      </c>
      <c r="AE25" s="428">
        <v>1796</v>
      </c>
      <c r="AF25" s="415">
        <f>+AE25/R25-1</f>
        <v>-0.1057699832371286</v>
      </c>
      <c r="AG25" s="461"/>
    </row>
    <row r="26" spans="2:33" ht="12.75">
      <c r="B26" s="15"/>
      <c r="C26" s="1497" t="s">
        <v>16</v>
      </c>
      <c r="D26" s="1497"/>
      <c r="E26" s="25"/>
      <c r="F26" s="169">
        <v>1031</v>
      </c>
      <c r="G26" s="169">
        <v>1009</v>
      </c>
      <c r="H26" s="169">
        <v>896</v>
      </c>
      <c r="I26" s="169">
        <v>951</v>
      </c>
      <c r="J26" s="170">
        <v>3887</v>
      </c>
      <c r="K26" s="80"/>
      <c r="L26" s="169">
        <v>927.841555818655</v>
      </c>
      <c r="M26" s="415">
        <v>-0.10005668688782243</v>
      </c>
      <c r="N26" s="415">
        <v>-0.091</v>
      </c>
      <c r="O26" s="169">
        <v>895.7917243016653</v>
      </c>
      <c r="P26" s="415">
        <v>-0.11219848929468257</v>
      </c>
      <c r="Q26" s="415">
        <v>-0.104</v>
      </c>
      <c r="R26" s="169">
        <v>820.2431508056357</v>
      </c>
      <c r="S26" s="415">
        <v>-0.08455005490442447</v>
      </c>
      <c r="T26" s="415">
        <v>-0.076</v>
      </c>
      <c r="U26" s="169">
        <v>879.9055393791268</v>
      </c>
      <c r="V26" s="415">
        <v>-0.07475758214602857</v>
      </c>
      <c r="W26" s="415">
        <v>-0.06789667438651825</v>
      </c>
      <c r="X26" s="169">
        <v>3523.7819703050827</v>
      </c>
      <c r="Y26" s="415">
        <v>-0.09344430915742663</v>
      </c>
      <c r="Z26" s="415">
        <v>-0.0855157993654575</v>
      </c>
      <c r="AA26" s="169">
        <v>824.0016597670374</v>
      </c>
      <c r="AB26" s="415">
        <v>-0.11206896551724138</v>
      </c>
      <c r="AC26" s="169">
        <v>804.7750856729626</v>
      </c>
      <c r="AD26" s="415">
        <v>-0.1015625</v>
      </c>
      <c r="AE26" s="169">
        <v>728</v>
      </c>
      <c r="AF26" s="415">
        <f>+AE26/R26-1</f>
        <v>-0.11245830058444894</v>
      </c>
      <c r="AG26" s="425"/>
    </row>
    <row r="27" spans="2:33" ht="12.75">
      <c r="B27" s="15"/>
      <c r="C27" s="1497" t="s">
        <v>17</v>
      </c>
      <c r="D27" s="1497"/>
      <c r="E27" s="25"/>
      <c r="F27" s="169">
        <v>1043</v>
      </c>
      <c r="G27" s="169">
        <v>1034</v>
      </c>
      <c r="H27" s="169">
        <v>1021</v>
      </c>
      <c r="I27" s="169">
        <v>1018</v>
      </c>
      <c r="J27" s="170">
        <v>4116</v>
      </c>
      <c r="K27" s="80"/>
      <c r="L27" s="169">
        <v>1005.3561884699999</v>
      </c>
      <c r="M27" s="415">
        <v>-0.03609186148609789</v>
      </c>
      <c r="N27" s="415"/>
      <c r="O27" s="169">
        <v>993.4089187800004</v>
      </c>
      <c r="P27" s="415">
        <v>-0.03925636481624728</v>
      </c>
      <c r="Q27" s="415"/>
      <c r="R27" s="169">
        <v>976.7148435999998</v>
      </c>
      <c r="S27" s="415">
        <v>-0.045</v>
      </c>
      <c r="T27" s="415"/>
      <c r="U27" s="169">
        <v>962.1607725</v>
      </c>
      <c r="V27" s="415">
        <v>-0.05485189341846752</v>
      </c>
      <c r="W27" s="415"/>
      <c r="X27" s="169">
        <v>3937.64072335</v>
      </c>
      <c r="Y27" s="415">
        <v>-0.0433331575923227</v>
      </c>
      <c r="Z27" s="415"/>
      <c r="AA27" s="169">
        <v>951.9517609799999</v>
      </c>
      <c r="AB27" s="415">
        <v>-0.0527363184079602</v>
      </c>
      <c r="AC27" s="169">
        <v>927.0015849700001</v>
      </c>
      <c r="AD27" s="415">
        <v>-0.06646525679758308</v>
      </c>
      <c r="AE27" s="169">
        <v>903</v>
      </c>
      <c r="AF27" s="855">
        <v>-0.076</v>
      </c>
      <c r="AG27" s="425"/>
    </row>
    <row r="28" spans="2:33" ht="12.75">
      <c r="B28" s="15"/>
      <c r="C28" s="1497" t="s">
        <v>18</v>
      </c>
      <c r="D28" s="1497"/>
      <c r="E28" s="25"/>
      <c r="F28" s="169">
        <v>158</v>
      </c>
      <c r="G28" s="169">
        <v>157</v>
      </c>
      <c r="H28" s="169">
        <v>173</v>
      </c>
      <c r="I28" s="169">
        <v>119</v>
      </c>
      <c r="J28" s="170">
        <v>607</v>
      </c>
      <c r="K28" s="80"/>
      <c r="L28" s="169">
        <v>90.77760419333333</v>
      </c>
      <c r="M28" s="415">
        <v>-0.427</v>
      </c>
      <c r="N28" s="415">
        <v>-0.071</v>
      </c>
      <c r="O28" s="169">
        <v>90.35348982096687</v>
      </c>
      <c r="P28" s="415">
        <v>-0.4245000648346059</v>
      </c>
      <c r="Q28" s="415">
        <v>-0.051</v>
      </c>
      <c r="R28" s="169">
        <v>89.09431445530097</v>
      </c>
      <c r="S28" s="415">
        <v>-0.48</v>
      </c>
      <c r="T28" s="415">
        <v>-0.112</v>
      </c>
      <c r="U28" s="169">
        <v>86.86515318028478</v>
      </c>
      <c r="V28" s="415">
        <v>-0.27004072957743885</v>
      </c>
      <c r="W28" s="415">
        <v>-0.09515465437203352</v>
      </c>
      <c r="X28" s="169">
        <v>357.09056164988596</v>
      </c>
      <c r="Y28" s="415">
        <v>-0.41171241902819444</v>
      </c>
      <c r="Z28" s="415">
        <v>-0.034629462963271185</v>
      </c>
      <c r="AA28" s="169">
        <v>75.47814122429357</v>
      </c>
      <c r="AB28" s="415">
        <v>-0.17582417582417584</v>
      </c>
      <c r="AC28" s="169">
        <v>66.29804883570642</v>
      </c>
      <c r="AD28" s="415">
        <v>-0.26666666666666666</v>
      </c>
      <c r="AE28" s="170">
        <v>58</v>
      </c>
      <c r="AF28" s="415">
        <v>-0.348</v>
      </c>
      <c r="AG28" s="425"/>
    </row>
    <row r="29" spans="2:33" ht="12.75">
      <c r="B29" s="15"/>
      <c r="C29" s="1497" t="s">
        <v>19</v>
      </c>
      <c r="D29" s="1497"/>
      <c r="E29" s="25"/>
      <c r="F29" s="169">
        <v>182</v>
      </c>
      <c r="G29" s="169">
        <v>191</v>
      </c>
      <c r="H29" s="169">
        <v>157</v>
      </c>
      <c r="I29" s="169">
        <v>169</v>
      </c>
      <c r="J29" s="170">
        <v>698</v>
      </c>
      <c r="K29" s="80"/>
      <c r="L29" s="169">
        <v>137.11348762</v>
      </c>
      <c r="M29" s="415">
        <v>-0.24662918890109886</v>
      </c>
      <c r="N29" s="415"/>
      <c r="O29" s="169">
        <v>144.61056835</v>
      </c>
      <c r="P29" s="415">
        <v>-0.241</v>
      </c>
      <c r="Q29" s="415"/>
      <c r="R29" s="169">
        <v>122.37948869999998</v>
      </c>
      <c r="S29" s="415">
        <v>-0.223</v>
      </c>
      <c r="T29" s="415"/>
      <c r="U29" s="169">
        <v>134.91438309000003</v>
      </c>
      <c r="V29" s="415">
        <v>-0.2016900408875738</v>
      </c>
      <c r="W29" s="415"/>
      <c r="X29" s="169">
        <v>539.01792776</v>
      </c>
      <c r="Y29" s="415">
        <v>-0.2277680118051576</v>
      </c>
      <c r="Z29" s="415"/>
      <c r="AA29" s="169">
        <v>118.24463436000002</v>
      </c>
      <c r="AB29" s="415">
        <v>-0.1386861313868613</v>
      </c>
      <c r="AC29" s="169">
        <v>127.53592191999999</v>
      </c>
      <c r="AD29" s="415">
        <v>-0.11724137931034483</v>
      </c>
      <c r="AE29" s="169">
        <v>107</v>
      </c>
      <c r="AF29" s="415">
        <v>-0.123</v>
      </c>
      <c r="AG29" s="425"/>
    </row>
    <row r="30" spans="2:33" ht="12.75">
      <c r="B30" s="15"/>
      <c r="C30" s="1475" t="s">
        <v>27</v>
      </c>
      <c r="D30" s="1475"/>
      <c r="E30" s="6"/>
      <c r="F30" s="428">
        <v>377</v>
      </c>
      <c r="G30" s="428">
        <v>385</v>
      </c>
      <c r="H30" s="428">
        <v>361</v>
      </c>
      <c r="I30" s="428">
        <v>388</v>
      </c>
      <c r="J30" s="428">
        <v>1511</v>
      </c>
      <c r="K30" s="420"/>
      <c r="L30" s="428">
        <v>353.46327487</v>
      </c>
      <c r="M30" s="415">
        <v>-0.063</v>
      </c>
      <c r="N30" s="415">
        <v>0.076</v>
      </c>
      <c r="O30" s="428">
        <v>362.7435167384002</v>
      </c>
      <c r="P30" s="415">
        <v>-0.057809047432726746</v>
      </c>
      <c r="Q30" s="415">
        <v>0.053</v>
      </c>
      <c r="R30" s="428">
        <v>354.65879562294623</v>
      </c>
      <c r="S30" s="415">
        <v>-0.01756566309433183</v>
      </c>
      <c r="T30" s="415">
        <v>0.113</v>
      </c>
      <c r="U30" s="428">
        <v>397.0657106671821</v>
      </c>
      <c r="V30" s="415">
        <v>0.023365233678304342</v>
      </c>
      <c r="W30" s="415">
        <v>0.13772409933289986</v>
      </c>
      <c r="X30" s="428">
        <v>1467.9312978985286</v>
      </c>
      <c r="Y30" s="415">
        <v>-0.02850344282029882</v>
      </c>
      <c r="Z30" s="415">
        <v>0.09547111783472273</v>
      </c>
      <c r="AA30" s="428">
        <v>405.76478606540985</v>
      </c>
      <c r="AB30" s="415">
        <v>0.1501416430594901</v>
      </c>
      <c r="AC30" s="428">
        <v>404.3040946325901</v>
      </c>
      <c r="AD30" s="415">
        <v>0.11294765840220386</v>
      </c>
      <c r="AE30" s="428">
        <v>398</v>
      </c>
      <c r="AF30" s="415">
        <v>0.121</v>
      </c>
      <c r="AG30" s="425"/>
    </row>
    <row r="31" spans="2:33" ht="12.75">
      <c r="B31" s="15"/>
      <c r="C31" s="1497" t="s">
        <v>20</v>
      </c>
      <c r="D31" s="1497"/>
      <c r="E31" s="25"/>
      <c r="F31" s="169">
        <v>77</v>
      </c>
      <c r="G31" s="169">
        <v>75</v>
      </c>
      <c r="H31" s="169">
        <v>63</v>
      </c>
      <c r="I31" s="169">
        <v>65</v>
      </c>
      <c r="J31" s="170">
        <v>280</v>
      </c>
      <c r="K31" s="80"/>
      <c r="L31" s="169">
        <v>21.6897</v>
      </c>
      <c r="M31" s="415">
        <v>-0.716</v>
      </c>
      <c r="N31" s="415">
        <v>-0.185</v>
      </c>
      <c r="O31" s="169">
        <v>23.8171839137082</v>
      </c>
      <c r="P31" s="415">
        <v>-0.678</v>
      </c>
      <c r="Q31" s="415">
        <v>-0.322</v>
      </c>
      <c r="R31" s="169">
        <v>18.920031427773413</v>
      </c>
      <c r="S31" s="415">
        <v>-0.6996820408289934</v>
      </c>
      <c r="T31" s="415">
        <v>-0.095</v>
      </c>
      <c r="U31" s="169">
        <v>19.252364333639722</v>
      </c>
      <c r="V31" s="415">
        <v>-0.7038097794824658</v>
      </c>
      <c r="W31" s="415">
        <v>-0.25952444870616453</v>
      </c>
      <c r="X31" s="169">
        <v>83.67927967512134</v>
      </c>
      <c r="Y31" s="415">
        <v>-0.7011454297317095</v>
      </c>
      <c r="Z31" s="415">
        <v>-0.23230018646677675</v>
      </c>
      <c r="AA31" s="169">
        <v>16.477650051325917</v>
      </c>
      <c r="AB31" s="415">
        <v>-0.2727272727272727</v>
      </c>
      <c r="AC31" s="169">
        <v>14.544155932774036</v>
      </c>
      <c r="AD31" s="415">
        <v>-0.375</v>
      </c>
      <c r="AE31" s="169">
        <v>13</v>
      </c>
      <c r="AF31" s="415">
        <v>-0.316</v>
      </c>
      <c r="AG31" s="425"/>
    </row>
    <row r="32" spans="2:33" ht="12.75">
      <c r="B32" s="15"/>
      <c r="C32" s="1497" t="s">
        <v>21</v>
      </c>
      <c r="D32" s="1497"/>
      <c r="E32" s="25"/>
      <c r="F32" s="169">
        <v>300</v>
      </c>
      <c r="G32" s="169">
        <v>310</v>
      </c>
      <c r="H32" s="169">
        <v>298</v>
      </c>
      <c r="I32" s="169">
        <v>323</v>
      </c>
      <c r="J32" s="170">
        <v>1231</v>
      </c>
      <c r="K32" s="365"/>
      <c r="L32" s="169">
        <v>331.77357487</v>
      </c>
      <c r="M32" s="415">
        <v>-0.1</v>
      </c>
      <c r="N32" s="415"/>
      <c r="O32" s="169">
        <v>338.926332824692</v>
      </c>
      <c r="P32" s="415">
        <v>0.089</v>
      </c>
      <c r="Q32" s="415"/>
      <c r="R32" s="169">
        <v>335.7387641951728</v>
      </c>
      <c r="S32" s="415">
        <v>0.12664014830594894</v>
      </c>
      <c r="T32" s="415"/>
      <c r="U32" s="169">
        <v>377.81334633354237</v>
      </c>
      <c r="V32" s="415">
        <v>0.16970076264254597</v>
      </c>
      <c r="W32" s="415"/>
      <c r="X32" s="169">
        <v>1384.2520182234073</v>
      </c>
      <c r="Y32" s="415">
        <v>0.12449392219610655</v>
      </c>
      <c r="Z32" s="415"/>
      <c r="AA32" s="169">
        <v>389.28713601408396</v>
      </c>
      <c r="AB32" s="415">
        <v>0.173</v>
      </c>
      <c r="AC32" s="169">
        <v>389.759938699816</v>
      </c>
      <c r="AD32" s="415">
        <v>0.1504424778761062</v>
      </c>
      <c r="AE32" s="169">
        <f>361+23</f>
        <v>384</v>
      </c>
      <c r="AF32" s="415">
        <f>+AE32/R32-1</f>
        <v>0.14374639139605527</v>
      </c>
      <c r="AG32" s="425"/>
    </row>
    <row r="33" spans="2:33" ht="12.75">
      <c r="B33" s="15"/>
      <c r="C33" s="1475" t="s">
        <v>28</v>
      </c>
      <c r="D33" s="1475"/>
      <c r="E33" s="6"/>
      <c r="F33" s="428">
        <v>443</v>
      </c>
      <c r="G33" s="428">
        <v>447</v>
      </c>
      <c r="H33" s="428">
        <v>400</v>
      </c>
      <c r="I33" s="428">
        <v>453</v>
      </c>
      <c r="J33" s="428">
        <v>1743</v>
      </c>
      <c r="K33" s="420"/>
      <c r="L33" s="428">
        <v>393.31545969</v>
      </c>
      <c r="M33" s="415">
        <v>-0.1121547185327314</v>
      </c>
      <c r="N33" s="415"/>
      <c r="O33" s="428">
        <v>447.73014512146347</v>
      </c>
      <c r="P33" s="415">
        <v>0.004</v>
      </c>
      <c r="Q33" s="415"/>
      <c r="R33" s="428">
        <v>395.34656381231355</v>
      </c>
      <c r="S33" s="415">
        <v>-0.011633590469216082</v>
      </c>
      <c r="T33" s="415"/>
      <c r="U33" s="428">
        <v>436.6104143862245</v>
      </c>
      <c r="V33" s="415">
        <v>-0.0361801006926612</v>
      </c>
      <c r="W33" s="415"/>
      <c r="X33" s="428">
        <v>1673.0025830100012</v>
      </c>
      <c r="Y33" s="415">
        <v>-0.040159160636832336</v>
      </c>
      <c r="Z33" s="415"/>
      <c r="AA33" s="428">
        <v>382.6765532965925</v>
      </c>
      <c r="AB33" s="415">
        <v>-0.02544529262086514</v>
      </c>
      <c r="AC33" s="428">
        <v>418.42287556840756</v>
      </c>
      <c r="AD33" s="415">
        <v>-0.06696428571428571</v>
      </c>
      <c r="AE33" s="428">
        <v>416</v>
      </c>
      <c r="AF33" s="415">
        <v>0.053</v>
      </c>
      <c r="AG33" s="425"/>
    </row>
    <row r="34" spans="2:33" ht="12.75">
      <c r="B34" s="15"/>
      <c r="C34" s="1497" t="s">
        <v>22</v>
      </c>
      <c r="D34" s="1497"/>
      <c r="E34" s="25"/>
      <c r="F34" s="169">
        <v>82</v>
      </c>
      <c r="G34" s="169">
        <v>63</v>
      </c>
      <c r="H34" s="169">
        <v>61</v>
      </c>
      <c r="I34" s="169">
        <v>67</v>
      </c>
      <c r="J34" s="170">
        <v>273</v>
      </c>
      <c r="K34" s="80"/>
      <c r="L34" s="169">
        <v>62.83307</v>
      </c>
      <c r="M34" s="415">
        <v>-0.2337430487804878</v>
      </c>
      <c r="N34" s="415"/>
      <c r="O34" s="169">
        <v>61.37614072</v>
      </c>
      <c r="P34" s="415">
        <v>-0.044</v>
      </c>
      <c r="Q34" s="415"/>
      <c r="R34" s="169">
        <v>57.9478468</v>
      </c>
      <c r="S34" s="415">
        <v>-0.05003529836065568</v>
      </c>
      <c r="T34" s="415"/>
      <c r="U34" s="169">
        <v>56.96837572000001</v>
      </c>
      <c r="V34" s="415">
        <v>-0.14972573552238788</v>
      </c>
      <c r="W34" s="415"/>
      <c r="X34" s="169">
        <v>239.12543324</v>
      </c>
      <c r="Y34" s="415">
        <v>-0.12408266212454211</v>
      </c>
      <c r="Z34" s="415"/>
      <c r="AA34" s="169">
        <v>53.550370699999995</v>
      </c>
      <c r="AB34" s="415">
        <v>-0.14285714285714285</v>
      </c>
      <c r="AC34" s="169">
        <v>48.53761509000002</v>
      </c>
      <c r="AD34" s="415">
        <v>-0.19672131147540983</v>
      </c>
      <c r="AE34" s="169">
        <v>50</v>
      </c>
      <c r="AF34" s="415">
        <v>-0.138</v>
      </c>
      <c r="AG34" s="425"/>
    </row>
    <row r="35" spans="2:33" ht="12.75">
      <c r="B35" s="15"/>
      <c r="C35" s="1497" t="s">
        <v>23</v>
      </c>
      <c r="D35" s="1497"/>
      <c r="E35" s="25"/>
      <c r="F35" s="169">
        <v>46</v>
      </c>
      <c r="G35" s="169">
        <v>50</v>
      </c>
      <c r="H35" s="169">
        <v>46</v>
      </c>
      <c r="I35" s="169">
        <v>22</v>
      </c>
      <c r="J35" s="170">
        <v>164</v>
      </c>
      <c r="K35" s="80"/>
      <c r="L35" s="169">
        <v>20.146229999999996</v>
      </c>
      <c r="M35" s="415">
        <v>-0.5620384782608696</v>
      </c>
      <c r="N35" s="415"/>
      <c r="O35" s="169">
        <v>17.983642090000007</v>
      </c>
      <c r="P35" s="415">
        <v>-0.639</v>
      </c>
      <c r="Q35" s="415"/>
      <c r="R35" s="169">
        <v>15.591860209999991</v>
      </c>
      <c r="S35" s="415">
        <v>-0.6610465171739133</v>
      </c>
      <c r="T35" s="415"/>
      <c r="U35" s="169">
        <v>17.587712360000012</v>
      </c>
      <c r="V35" s="415">
        <v>-0.20055852909090854</v>
      </c>
      <c r="W35" s="415"/>
      <c r="X35" s="169">
        <v>71.30944466000001</v>
      </c>
      <c r="Y35" s="415">
        <v>-0.5651863130487804</v>
      </c>
      <c r="Z35" s="415"/>
      <c r="AA35" s="169">
        <v>17.696896419999998</v>
      </c>
      <c r="AB35" s="415">
        <v>-0.1</v>
      </c>
      <c r="AC35" s="169">
        <v>19.108589324</v>
      </c>
      <c r="AD35" s="415">
        <v>0.05555555555555555</v>
      </c>
      <c r="AE35" s="169">
        <v>17</v>
      </c>
      <c r="AF35" s="415">
        <v>0.063</v>
      </c>
      <c r="AG35" s="425"/>
    </row>
    <row r="36" spans="2:33" ht="12.75">
      <c r="B36" s="15"/>
      <c r="C36" s="1497" t="s">
        <v>24</v>
      </c>
      <c r="D36" s="1497"/>
      <c r="E36" s="25"/>
      <c r="F36" s="169">
        <v>129</v>
      </c>
      <c r="G36" s="169">
        <v>120</v>
      </c>
      <c r="H36" s="169">
        <v>110</v>
      </c>
      <c r="I36" s="169">
        <v>123</v>
      </c>
      <c r="J36" s="170">
        <v>482</v>
      </c>
      <c r="K36" s="80"/>
      <c r="L36" s="169">
        <v>132.45085999999998</v>
      </c>
      <c r="M36" s="415">
        <v>0.02675085271317812</v>
      </c>
      <c r="N36" s="415"/>
      <c r="O36" s="169">
        <v>130.6677150214634</v>
      </c>
      <c r="P36" s="415">
        <v>0.087</v>
      </c>
      <c r="Q36" s="415"/>
      <c r="R36" s="169">
        <v>135.95487014231364</v>
      </c>
      <c r="S36" s="415">
        <v>0.23595336493012398</v>
      </c>
      <c r="T36" s="415"/>
      <c r="U36" s="169">
        <v>111.39393180622434</v>
      </c>
      <c r="V36" s="415">
        <v>-0.09435827799817609</v>
      </c>
      <c r="W36" s="415"/>
      <c r="X36" s="169">
        <v>510.4673769700014</v>
      </c>
      <c r="Y36" s="415">
        <v>0.05906094807054241</v>
      </c>
      <c r="Z36" s="415"/>
      <c r="AA36" s="169">
        <v>121.47256419659249</v>
      </c>
      <c r="AB36" s="415">
        <v>-0.08333333333333333</v>
      </c>
      <c r="AC36" s="169">
        <v>122.79175078740751</v>
      </c>
      <c r="AD36" s="415">
        <v>-0.061068702290076333</v>
      </c>
      <c r="AE36" s="169">
        <v>117</v>
      </c>
      <c r="AF36" s="415">
        <v>-0.14</v>
      </c>
      <c r="AG36" s="425"/>
    </row>
    <row r="37" spans="2:33" ht="12.75">
      <c r="B37" s="15"/>
      <c r="C37" s="1497" t="s">
        <v>25</v>
      </c>
      <c r="D37" s="1497"/>
      <c r="E37" s="25"/>
      <c r="F37" s="169">
        <v>52</v>
      </c>
      <c r="G37" s="169">
        <v>71</v>
      </c>
      <c r="H37" s="169">
        <v>59</v>
      </c>
      <c r="I37" s="169">
        <v>41</v>
      </c>
      <c r="J37" s="170">
        <v>223</v>
      </c>
      <c r="K37" s="80"/>
      <c r="L37" s="169">
        <v>36.71077218</v>
      </c>
      <c r="M37" s="415">
        <v>-0.2940236119230769</v>
      </c>
      <c r="N37" s="415"/>
      <c r="O37" s="169">
        <v>62.47325477999999</v>
      </c>
      <c r="P37" s="415">
        <v>-0.124</v>
      </c>
      <c r="Q37" s="415"/>
      <c r="R37" s="169">
        <v>53.385217680000004</v>
      </c>
      <c r="S37" s="415">
        <v>-0.09516580203389824</v>
      </c>
      <c r="T37" s="415"/>
      <c r="U37" s="169">
        <v>55.60330128000001</v>
      </c>
      <c r="V37" s="415">
        <v>0.3561780800000003</v>
      </c>
      <c r="W37" s="415"/>
      <c r="X37" s="169">
        <v>208.17254592</v>
      </c>
      <c r="Y37" s="415">
        <v>-0.06649082547085194</v>
      </c>
      <c r="Z37" s="415"/>
      <c r="AA37" s="169">
        <v>39.44747844</v>
      </c>
      <c r="AB37" s="415">
        <v>0.05405405405405406</v>
      </c>
      <c r="AC37" s="169">
        <v>48.13146995199999</v>
      </c>
      <c r="AD37" s="415">
        <v>-0.22580645161290322</v>
      </c>
      <c r="AE37" s="169">
        <v>55</v>
      </c>
      <c r="AF37" s="415">
        <v>0.038</v>
      </c>
      <c r="AG37" s="425"/>
    </row>
    <row r="38" spans="2:33" ht="12.75">
      <c r="B38" s="15"/>
      <c r="C38" s="1497" t="s">
        <v>26</v>
      </c>
      <c r="D38" s="1497"/>
      <c r="E38" s="25"/>
      <c r="F38" s="169">
        <v>134</v>
      </c>
      <c r="G38" s="169">
        <v>143</v>
      </c>
      <c r="H38" s="169">
        <v>124</v>
      </c>
      <c r="I38" s="169">
        <v>200</v>
      </c>
      <c r="J38" s="170">
        <v>601</v>
      </c>
      <c r="K38" s="365"/>
      <c r="L38" s="169">
        <v>141.17452751000002</v>
      </c>
      <c r="M38" s="415">
        <v>0.05354125007462707</v>
      </c>
      <c r="N38" s="415"/>
      <c r="O38" s="169">
        <v>175.22939251</v>
      </c>
      <c r="P38" s="415">
        <v>-0.24</v>
      </c>
      <c r="Q38" s="415"/>
      <c r="R38" s="169">
        <v>132.46676897999993</v>
      </c>
      <c r="S38" s="415">
        <v>0.0682803949999995</v>
      </c>
      <c r="T38" s="415"/>
      <c r="U38" s="169">
        <v>195.0570932200001</v>
      </c>
      <c r="V38" s="415">
        <v>-0.024714533899999558</v>
      </c>
      <c r="W38" s="415"/>
      <c r="X38" s="169">
        <v>643.92778222</v>
      </c>
      <c r="Y38" s="415">
        <v>0.07142725826955076</v>
      </c>
      <c r="Z38" s="415"/>
      <c r="AA38" s="169">
        <v>150.50924354</v>
      </c>
      <c r="AB38" s="415">
        <v>0.07092198581560284</v>
      </c>
      <c r="AC38" s="169">
        <v>179.85345041500003</v>
      </c>
      <c r="AD38" s="415">
        <v>0.02857142857142857</v>
      </c>
      <c r="AE38" s="169">
        <v>177</v>
      </c>
      <c r="AF38" s="415">
        <v>0.341</v>
      </c>
      <c r="AG38" s="425"/>
    </row>
    <row r="39" spans="2:33" ht="12.75">
      <c r="B39" s="15"/>
      <c r="C39" s="1475" t="s">
        <v>29</v>
      </c>
      <c r="D39" s="1475"/>
      <c r="E39" s="6"/>
      <c r="F39" s="428">
        <v>945</v>
      </c>
      <c r="G39" s="428">
        <v>977</v>
      </c>
      <c r="H39" s="428">
        <v>1013</v>
      </c>
      <c r="I39" s="428">
        <v>1053</v>
      </c>
      <c r="J39" s="428">
        <v>3988</v>
      </c>
      <c r="K39" s="420"/>
      <c r="L39" s="428">
        <v>991.9173683092071</v>
      </c>
      <c r="M39" s="415">
        <v>0.049648008792811726</v>
      </c>
      <c r="N39" s="415"/>
      <c r="O39" s="428">
        <v>957.8055222406863</v>
      </c>
      <c r="P39" s="415">
        <v>-0.019646343663575982</v>
      </c>
      <c r="Q39" s="415"/>
      <c r="R39" s="428">
        <v>904.3115520990593</v>
      </c>
      <c r="S39" s="415">
        <v>-0.10729363070181708</v>
      </c>
      <c r="T39" s="415"/>
      <c r="U39" s="428">
        <v>931.9626171022102</v>
      </c>
      <c r="V39" s="415">
        <v>-0.11494528290388395</v>
      </c>
      <c r="W39" s="415"/>
      <c r="X39" s="428">
        <v>3785.997059751163</v>
      </c>
      <c r="Y39" s="415">
        <v>-0.05065269314163423</v>
      </c>
      <c r="Z39" s="415"/>
      <c r="AA39" s="428">
        <v>904.6998935339733</v>
      </c>
      <c r="AB39" s="415">
        <v>-0.08770161290322581</v>
      </c>
      <c r="AC39" s="428">
        <v>908.8909916250764</v>
      </c>
      <c r="AD39" s="415">
        <v>-0.0511482254697286</v>
      </c>
      <c r="AE39" s="428">
        <v>946</v>
      </c>
      <c r="AF39" s="415">
        <v>0.046</v>
      </c>
      <c r="AG39" s="425"/>
    </row>
    <row r="40" spans="2:33" ht="12.75">
      <c r="B40" s="15"/>
      <c r="C40" s="1475" t="s">
        <v>30</v>
      </c>
      <c r="D40" s="1475"/>
      <c r="E40" s="6"/>
      <c r="F40" s="428">
        <v>107</v>
      </c>
      <c r="G40" s="428">
        <v>114</v>
      </c>
      <c r="H40" s="428">
        <v>87</v>
      </c>
      <c r="I40" s="428">
        <v>129</v>
      </c>
      <c r="J40" s="428">
        <v>437</v>
      </c>
      <c r="K40" s="420"/>
      <c r="L40" s="428">
        <v>89.2150610288046</v>
      </c>
      <c r="M40" s="415">
        <v>-0.1662143829083682</v>
      </c>
      <c r="N40" s="415"/>
      <c r="O40" s="428">
        <v>101.55611464681738</v>
      </c>
      <c r="P40" s="415">
        <v>-0.11</v>
      </c>
      <c r="Q40" s="415"/>
      <c r="R40" s="428">
        <v>102.25129090474468</v>
      </c>
      <c r="S40" s="415">
        <v>0.17530219430741</v>
      </c>
      <c r="T40" s="415"/>
      <c r="U40" s="428">
        <v>149.5154096949717</v>
      </c>
      <c r="V40" s="415">
        <v>0.15903418368195132</v>
      </c>
      <c r="W40" s="415"/>
      <c r="X40" s="428">
        <v>442.53787627533893</v>
      </c>
      <c r="Y40" s="415">
        <v>0.01267248575592439</v>
      </c>
      <c r="Z40" s="415"/>
      <c r="AA40" s="428">
        <v>83.18257077269345</v>
      </c>
      <c r="AB40" s="415">
        <v>-0.06741573033707865</v>
      </c>
      <c r="AC40" s="428">
        <v>81.77139677525702</v>
      </c>
      <c r="AD40" s="415">
        <v>-0.19607843137254902</v>
      </c>
      <c r="AE40" s="428">
        <f>45+41</f>
        <v>86</v>
      </c>
      <c r="AF40" s="415">
        <f>+AE40/R40-1</f>
        <v>-0.15893482381444035</v>
      </c>
      <c r="AG40" s="425"/>
    </row>
    <row r="41" spans="2:33" ht="12.75">
      <c r="B41" s="15"/>
      <c r="C41" s="14"/>
      <c r="D41" s="14"/>
      <c r="E41" s="14"/>
      <c r="F41" s="428"/>
      <c r="G41" s="428"/>
      <c r="H41" s="428"/>
      <c r="I41" s="428"/>
      <c r="J41" s="428"/>
      <c r="K41" s="420"/>
      <c r="L41" s="428"/>
      <c r="M41" s="415"/>
      <c r="N41" s="415"/>
      <c r="O41" s="428"/>
      <c r="P41" s="415"/>
      <c r="Q41" s="415"/>
      <c r="R41" s="428"/>
      <c r="S41" s="415"/>
      <c r="T41" s="415"/>
      <c r="U41" s="428"/>
      <c r="V41" s="415"/>
      <c r="W41" s="415"/>
      <c r="X41" s="428"/>
      <c r="Y41" s="415"/>
      <c r="Z41" s="415"/>
      <c r="AA41" s="428"/>
      <c r="AB41" s="415"/>
      <c r="AC41" s="428"/>
      <c r="AD41" s="415"/>
      <c r="AE41" s="428"/>
      <c r="AF41" s="415"/>
      <c r="AG41" s="425"/>
    </row>
    <row r="42" spans="2:33" ht="12.75">
      <c r="B42" s="15"/>
      <c r="C42" s="14"/>
      <c r="D42" s="14"/>
      <c r="E42" s="14"/>
      <c r="F42" s="428"/>
      <c r="G42" s="428"/>
      <c r="H42" s="428"/>
      <c r="I42" s="428"/>
      <c r="J42" s="428"/>
      <c r="K42" s="420"/>
      <c r="L42" s="428"/>
      <c r="M42" s="415"/>
      <c r="N42" s="415"/>
      <c r="O42" s="428"/>
      <c r="P42" s="415"/>
      <c r="Q42" s="415"/>
      <c r="R42" s="428"/>
      <c r="S42" s="415"/>
      <c r="T42" s="415"/>
      <c r="U42" s="428"/>
      <c r="V42" s="415"/>
      <c r="W42" s="415"/>
      <c r="X42" s="428"/>
      <c r="Y42" s="415"/>
      <c r="Z42" s="415"/>
      <c r="AA42" s="428"/>
      <c r="AB42" s="415"/>
      <c r="AC42" s="415"/>
      <c r="AD42" s="415"/>
      <c r="AE42" s="415"/>
      <c r="AF42" s="415"/>
      <c r="AG42" s="425"/>
    </row>
    <row r="43" spans="2:33" ht="12.75">
      <c r="B43" s="15"/>
      <c r="C43" s="1198" t="s">
        <v>133</v>
      </c>
      <c r="D43" s="1196"/>
      <c r="E43" s="1196"/>
      <c r="F43" s="1196"/>
      <c r="G43" s="1196"/>
      <c r="H43" s="1196"/>
      <c r="I43" s="1196"/>
      <c r="J43" s="1196"/>
      <c r="K43" s="1196"/>
      <c r="L43" s="1196"/>
      <c r="M43" s="1196"/>
      <c r="N43" s="143"/>
      <c r="O43" s="536"/>
      <c r="P43" s="537"/>
      <c r="Q43" s="537"/>
      <c r="R43" s="536"/>
      <c r="S43" s="537"/>
      <c r="T43" s="537"/>
      <c r="U43" s="536"/>
      <c r="V43" s="537"/>
      <c r="W43" s="537"/>
      <c r="X43" s="536"/>
      <c r="Y43" s="537"/>
      <c r="Z43" s="537"/>
      <c r="AA43" s="536"/>
      <c r="AB43" s="537"/>
      <c r="AC43" s="537"/>
      <c r="AD43" s="537"/>
      <c r="AE43" s="537"/>
      <c r="AF43" s="537"/>
      <c r="AG43" s="425"/>
    </row>
    <row r="44" spans="2:33" ht="12.75">
      <c r="B44" s="15"/>
      <c r="C44" s="1197" t="s">
        <v>348</v>
      </c>
      <c r="D44" s="1197"/>
      <c r="E44" s="1197"/>
      <c r="F44" s="1197"/>
      <c r="G44" s="1197"/>
      <c r="H44" s="1197"/>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425"/>
    </row>
    <row r="45" spans="2:33" ht="12.75">
      <c r="B45" s="135"/>
      <c r="C45" s="61"/>
      <c r="D45" s="61"/>
      <c r="E45" s="61"/>
      <c r="F45" s="430"/>
      <c r="G45" s="430"/>
      <c r="H45" s="430"/>
      <c r="I45" s="430"/>
      <c r="J45" s="430"/>
      <c r="K45" s="430"/>
      <c r="L45" s="1449"/>
      <c r="M45" s="430"/>
      <c r="N45" s="61"/>
      <c r="O45" s="430"/>
      <c r="P45" s="430"/>
      <c r="Q45" s="430"/>
      <c r="R45" s="430"/>
      <c r="S45" s="430"/>
      <c r="T45" s="430"/>
      <c r="U45" s="430"/>
      <c r="V45" s="430"/>
      <c r="W45" s="430"/>
      <c r="X45" s="430"/>
      <c r="Y45" s="430"/>
      <c r="Z45" s="430"/>
      <c r="AA45" s="1449"/>
      <c r="AB45" s="1450"/>
      <c r="AC45" s="430"/>
      <c r="AD45" s="430"/>
      <c r="AE45" s="430"/>
      <c r="AF45" s="430"/>
      <c r="AG45" s="431"/>
    </row>
    <row r="47" spans="12:15" ht="12.75">
      <c r="L47" s="73"/>
      <c r="O47" s="73"/>
    </row>
    <row r="65528" ht="12.75">
      <c r="L65528" s="424">
        <f>+L65515+O65515+R65515</f>
        <v>0</v>
      </c>
    </row>
  </sheetData>
  <sheetProtection password="DAD6" sheet="1" formatCells="0" formatColumns="0" formatRows="0" insertColumns="0" insertRows="0" insertHyperlinks="0" deleteColumns="0" deleteRows="0" sort="0" autoFilter="0" pivotTables="0"/>
  <mergeCells count="30">
    <mergeCell ref="C38:D38"/>
    <mergeCell ref="C39:D39"/>
    <mergeCell ref="C40:D40"/>
    <mergeCell ref="C33:D33"/>
    <mergeCell ref="C34:D34"/>
    <mergeCell ref="C35:D35"/>
    <mergeCell ref="C30:D30"/>
    <mergeCell ref="C31:D31"/>
    <mergeCell ref="C32:D32"/>
    <mergeCell ref="C37:D37"/>
    <mergeCell ref="C36:D36"/>
    <mergeCell ref="C4:D4"/>
    <mergeCell ref="C8:D8"/>
    <mergeCell ref="C9:D9"/>
    <mergeCell ref="C19:D19"/>
    <mergeCell ref="C23:D23"/>
    <mergeCell ref="C17:D17"/>
    <mergeCell ref="C10:D10"/>
    <mergeCell ref="C16:D16"/>
    <mergeCell ref="C18:D18"/>
    <mergeCell ref="C11:D11"/>
    <mergeCell ref="C13:D13"/>
    <mergeCell ref="C15:D15"/>
    <mergeCell ref="C14:D14"/>
    <mergeCell ref="C29:D29"/>
    <mergeCell ref="C24:D24"/>
    <mergeCell ref="C25:D25"/>
    <mergeCell ref="C26:D26"/>
    <mergeCell ref="C28:D28"/>
    <mergeCell ref="C27:D27"/>
  </mergeCells>
  <hyperlinks>
    <hyperlink ref="AI11" location="'Domestic Business Results'!A1" display="Domestic Business Results"/>
    <hyperlink ref="AI12" location="'Domestic Mobile Results'!A1" display="Domestic Mobile Results"/>
    <hyperlink ref="AI13" location="'TIM Brasil Results'!A1" display="TIM Brasil Results"/>
    <hyperlink ref="AI14" location="'European BroadBand'!A1" display="European BroadBand"/>
    <hyperlink ref="AI18" location="'Main Group''s Subsidiries'!A1" display="Main Group's Subsidiaries"/>
    <hyperlink ref="AI7" location="'Key fin data by BU YTD'!A1" display="Key Financial data by BU YTD"/>
    <hyperlink ref="AI19" location="'Analyst Tools'!A1" display="Analyst Tools"/>
    <hyperlink ref="AI20" location="'Historic Data'!A1" display="Historic Data"/>
    <hyperlink ref="AI6" location="'P&amp;L Group by quarter'!A1" display="P&amp;L Group by quarter"/>
    <hyperlink ref="AI8" location="'Key fin. data by BU by quarter'!A1" display="Key Financial data by quarter"/>
    <hyperlink ref="AI5" location="'P&amp;L Group YTD'!A1" display="P&amp;L Group YTD"/>
    <hyperlink ref="AI9" location="'Balance Sheet'!A1" display="Balance Sheet"/>
    <hyperlink ref="AI10" location="'Cashflow Statement'!A1" display="Cashflow Statement"/>
    <hyperlink ref="AI15" location="'1Q Rep&amp;org.'!A1" display="Repoerted &amp; Organic figures"/>
    <hyperlink ref="AI16" location="'2Q Rep&amp;org.'!A1" display="Reported &amp; Organic figures 2Q08 vs 2Q07"/>
    <hyperlink ref="AI17" location="'3Q Rep&amp;org.'!A1" display="Reported &amp; Organic figures 3Q08 vs 3Q07"/>
    <hyperlink ref="AI21" location="Cover!A1" display="Cover"/>
  </hyperlinks>
  <printOptions horizontalCentered="1" verticalCentered="1"/>
  <pageMargins left="0" right="0" top="0" bottom="0" header="0.5118110236220472" footer="0.31496062992125984"/>
  <pageSetup horizontalDpi="600" verticalDpi="600" orientation="landscape" paperSize="9" scale="59"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Germiniani</dc:creator>
  <cp:keywords/>
  <dc:description/>
  <cp:lastModifiedBy>TI506089</cp:lastModifiedBy>
  <cp:lastPrinted>2008-11-06T15:07:46Z</cp:lastPrinted>
  <dcterms:created xsi:type="dcterms:W3CDTF">2007-06-27T17:37:32Z</dcterms:created>
  <dcterms:modified xsi:type="dcterms:W3CDTF">2008-12-12T13:51:03Z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